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785" windowHeight="6795" tabRatio="500" activeTab="1"/>
  </bookViews>
  <sheets>
    <sheet name="Cover" sheetId="1" r:id="rId1"/>
    <sheet name="IC-CBFP Evaluation Matrix" sheetId="3" r:id="rId2"/>
    <sheet name="Full Learning Objectives" sheetId="5" r:id="rId3"/>
    <sheet name="Instructor Authorization" sheetId="8" r:id="rId4"/>
    <sheet name="DV-IDENTITY-0" sheetId="7" state="hidden" r:id="rId5"/>
  </sheets>
  <definedNames>
    <definedName name="_xlnm.Print_Area" localSheetId="3">'Instructor Authorization'!$A$1:$H$10</definedName>
    <definedName name="_xlnm.Print_Titles" localSheetId="2">'Full Learning Objectives'!$1:$2</definedName>
    <definedName name="_xlnm.Print_Titles" localSheetId="3">'Instructor Authorization'!$1:$5</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C41" i="5" l="1"/>
  <c r="C40" i="5"/>
  <c r="C36" i="5"/>
  <c r="C35" i="5"/>
  <c r="C22" i="5"/>
  <c r="C17" i="5"/>
  <c r="C13" i="5"/>
  <c r="C21" i="5" l="1"/>
  <c r="C38" i="5"/>
  <c r="B38" i="5"/>
  <c r="C37" i="5"/>
  <c r="B37" i="5"/>
  <c r="B36" i="5"/>
  <c r="B35" i="5"/>
  <c r="C31" i="5"/>
  <c r="B31" i="5"/>
  <c r="C30" i="5"/>
  <c r="B30" i="5"/>
  <c r="C25" i="5"/>
  <c r="B25" i="5"/>
  <c r="C24" i="5"/>
  <c r="B24" i="5"/>
  <c r="C23" i="5"/>
  <c r="B23" i="5"/>
  <c r="B22" i="5"/>
  <c r="B21" i="5"/>
  <c r="C20" i="5"/>
  <c r="B20" i="5"/>
  <c r="C19" i="5"/>
  <c r="B19" i="5"/>
  <c r="C18" i="5"/>
  <c r="B18" i="5"/>
  <c r="B13" i="5"/>
  <c r="B14" i="5"/>
  <c r="C14" i="5"/>
  <c r="C6" i="5"/>
  <c r="C7" i="5"/>
  <c r="C8" i="5"/>
  <c r="C9" i="5"/>
  <c r="B7" i="5"/>
  <c r="B8" i="5"/>
  <c r="B9" i="5"/>
  <c r="C4" i="5" l="1"/>
  <c r="C5" i="5"/>
  <c r="C10" i="5"/>
  <c r="C11" i="5"/>
  <c r="C12" i="5"/>
  <c r="C15" i="5"/>
  <c r="C16" i="5"/>
  <c r="C26" i="5"/>
  <c r="C27" i="5"/>
  <c r="C28" i="5"/>
  <c r="C29" i="5"/>
  <c r="C32" i="5"/>
  <c r="C33" i="5"/>
  <c r="C34" i="5"/>
  <c r="C39" i="5"/>
  <c r="C42" i="5"/>
  <c r="B4" i="5"/>
  <c r="B5" i="5"/>
  <c r="B6" i="5"/>
  <c r="B10" i="5"/>
  <c r="B11" i="5"/>
  <c r="B12" i="5"/>
  <c r="B15" i="5"/>
  <c r="B16" i="5"/>
  <c r="B17" i="5"/>
  <c r="B26" i="5"/>
  <c r="B27" i="5"/>
  <c r="B28" i="5"/>
  <c r="B29" i="5"/>
  <c r="B32" i="5"/>
  <c r="B33" i="5"/>
  <c r="B34" i="5"/>
  <c r="B39" i="5"/>
  <c r="B40" i="5"/>
  <c r="B41" i="5"/>
  <c r="B42" i="5"/>
  <c r="B3" i="5" l="1"/>
  <c r="C3" i="5" l="1"/>
  <c r="BM3" i="7"/>
  <c r="BL3" i="7"/>
  <c r="BK3" i="7"/>
  <c r="BJ3" i="7"/>
  <c r="BI3" i="7"/>
  <c r="BH3" i="7"/>
  <c r="BG3" i="7"/>
  <c r="BF3" i="7"/>
  <c r="BE3" i="7"/>
  <c r="BD3" i="7"/>
  <c r="BC3"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IV1" i="7"/>
  <c r="IU1" i="7"/>
  <c r="IT1" i="7"/>
  <c r="IS1" i="7"/>
  <c r="IR1" i="7"/>
  <c r="IQ1" i="7"/>
  <c r="IP1" i="7"/>
  <c r="IO1" i="7"/>
  <c r="IN1" i="7"/>
  <c r="IM1" i="7"/>
  <c r="IL1" i="7"/>
  <c r="IK1" i="7"/>
  <c r="IJ1" i="7"/>
  <c r="II1" i="7"/>
  <c r="IH1" i="7"/>
  <c r="IG1" i="7"/>
  <c r="IF1" i="7"/>
  <c r="IE1" i="7"/>
  <c r="ID1" i="7"/>
  <c r="IC1" i="7"/>
  <c r="IB1" i="7"/>
  <c r="IA1" i="7"/>
  <c r="HZ1" i="7"/>
  <c r="HY1" i="7"/>
  <c r="HX1" i="7"/>
  <c r="HW1" i="7"/>
  <c r="HV1" i="7"/>
  <c r="HU1" i="7"/>
  <c r="HT1" i="7"/>
  <c r="HS1" i="7"/>
  <c r="HR1" i="7"/>
  <c r="HQ1" i="7"/>
  <c r="HP1" i="7"/>
  <c r="HO1" i="7"/>
  <c r="HN1" i="7"/>
  <c r="HM1" i="7"/>
  <c r="HL1" i="7"/>
  <c r="HK1" i="7"/>
  <c r="HJ1" i="7"/>
  <c r="HI1" i="7"/>
  <c r="HH1" i="7"/>
  <c r="HG1" i="7"/>
  <c r="HF1" i="7"/>
  <c r="HE1" i="7"/>
  <c r="HD1" i="7"/>
  <c r="HC1" i="7"/>
  <c r="HB1" i="7"/>
  <c r="HA1" i="7"/>
  <c r="GZ1" i="7"/>
  <c r="GY1" i="7"/>
  <c r="GX1" i="7"/>
  <c r="GW1" i="7"/>
  <c r="GV1" i="7"/>
  <c r="GU1" i="7"/>
  <c r="GT1" i="7"/>
  <c r="GS1" i="7"/>
  <c r="GR1" i="7"/>
  <c r="GQ1" i="7"/>
  <c r="GP1" i="7"/>
  <c r="GO1" i="7"/>
  <c r="GN1" i="7"/>
  <c r="GM1" i="7"/>
  <c r="GL1" i="7"/>
  <c r="GK1" i="7"/>
  <c r="GJ1" i="7"/>
  <c r="GI1" i="7"/>
  <c r="GH1" i="7"/>
  <c r="GG1" i="7"/>
  <c r="GF1" i="7"/>
  <c r="GE1" i="7"/>
  <c r="GD1" i="7"/>
  <c r="GC1" i="7"/>
  <c r="GB1" i="7"/>
  <c r="GA1" i="7"/>
  <c r="FZ1" i="7"/>
  <c r="FY1" i="7"/>
  <c r="FX1" i="7"/>
  <c r="FW1" i="7"/>
  <c r="FV1" i="7"/>
  <c r="FU1" i="7"/>
  <c r="FT1" i="7"/>
  <c r="FS1" i="7"/>
  <c r="FR1" i="7"/>
  <c r="FQ1" i="7"/>
  <c r="FP1" i="7"/>
  <c r="FO1" i="7"/>
  <c r="FN1" i="7"/>
  <c r="FM1" i="7"/>
  <c r="FL1" i="7"/>
  <c r="FK1" i="7"/>
  <c r="FJ1" i="7"/>
  <c r="FI1" i="7"/>
  <c r="FH1" i="7"/>
  <c r="FG1" i="7"/>
  <c r="FF1" i="7"/>
  <c r="FE1" i="7"/>
  <c r="FD1" i="7"/>
  <c r="FC1" i="7"/>
  <c r="FB1" i="7"/>
  <c r="FA1" i="7"/>
  <c r="EZ1" i="7"/>
  <c r="EY1" i="7"/>
  <c r="EX1" i="7"/>
  <c r="EW1" i="7"/>
  <c r="EV1" i="7"/>
  <c r="EU1" i="7"/>
  <c r="ET1" i="7"/>
  <c r="ES1" i="7"/>
  <c r="ER1" i="7"/>
  <c r="EQ1" i="7"/>
  <c r="EP1" i="7"/>
  <c r="EO1" i="7"/>
  <c r="EN1" i="7"/>
  <c r="EM1" i="7"/>
  <c r="EL1" i="7"/>
  <c r="EK1" i="7"/>
  <c r="EJ1" i="7"/>
  <c r="EI1" i="7"/>
  <c r="EH1" i="7"/>
  <c r="EG1" i="7"/>
  <c r="EF1" i="7"/>
  <c r="EE1" i="7"/>
  <c r="ED1" i="7"/>
  <c r="EC1" i="7"/>
  <c r="EB1" i="7"/>
  <c r="EA1" i="7"/>
  <c r="DZ1" i="7"/>
  <c r="DY1" i="7"/>
  <c r="DX1" i="7"/>
  <c r="DW1" i="7"/>
  <c r="DV1" i="7"/>
  <c r="DU1" i="7"/>
  <c r="DT1" i="7"/>
  <c r="DS1" i="7"/>
  <c r="DR1" i="7"/>
  <c r="DQ1" i="7"/>
  <c r="DP1" i="7"/>
  <c r="DO1" i="7"/>
  <c r="DN1" i="7"/>
  <c r="DM1" i="7"/>
  <c r="DL1" i="7"/>
  <c r="DK1" i="7"/>
  <c r="DJ1" i="7"/>
  <c r="DI1" i="7"/>
  <c r="DH1" i="7"/>
  <c r="DG1" i="7"/>
  <c r="DF1" i="7"/>
  <c r="DE1" i="7"/>
  <c r="DD1" i="7"/>
  <c r="DC1" i="7"/>
  <c r="DB1" i="7"/>
  <c r="DA1" i="7"/>
  <c r="CZ1" i="7"/>
  <c r="CY1" i="7"/>
  <c r="CX1" i="7"/>
  <c r="CW1" i="7"/>
  <c r="CV1" i="7"/>
  <c r="CU1" i="7"/>
  <c r="CT1" i="7"/>
  <c r="CS1" i="7"/>
  <c r="CR1" i="7"/>
  <c r="CQ1" i="7"/>
  <c r="CP1" i="7"/>
  <c r="CO1" i="7"/>
  <c r="CN1" i="7"/>
  <c r="CM1" i="7"/>
  <c r="CL1" i="7"/>
  <c r="CK1" i="7"/>
  <c r="CJ1" i="7"/>
  <c r="CI1" i="7"/>
  <c r="CH1" i="7"/>
  <c r="CG1" i="7"/>
  <c r="CF1" i="7"/>
  <c r="CE1" i="7"/>
  <c r="CD1" i="7"/>
  <c r="CC1" i="7"/>
  <c r="CB1" i="7"/>
  <c r="CA1" i="7"/>
  <c r="BZ1" i="7"/>
  <c r="BY1" i="7"/>
  <c r="BX1" i="7"/>
  <c r="BW1" i="7"/>
  <c r="BV1" i="7"/>
  <c r="BU1" i="7"/>
  <c r="BT1" i="7"/>
  <c r="BS1" i="7"/>
  <c r="BR1" i="7"/>
  <c r="BQ1" i="7"/>
  <c r="BP1" i="7"/>
  <c r="BO1" i="7"/>
  <c r="BN1" i="7"/>
  <c r="BM1" i="7"/>
  <c r="BL1" i="7"/>
  <c r="BK1" i="7"/>
  <c r="BJ1" i="7"/>
  <c r="BI1" i="7"/>
  <c r="BH1" i="7"/>
  <c r="BG1" i="7"/>
  <c r="BF1" i="7"/>
  <c r="BE1" i="7"/>
  <c r="BD1" i="7"/>
  <c r="BC1" i="7"/>
  <c r="BB1" i="7"/>
  <c r="BA1"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M1" i="7"/>
  <c r="L1" i="7"/>
  <c r="K1" i="7"/>
  <c r="J1" i="7"/>
  <c r="I1" i="7"/>
  <c r="H1" i="7"/>
  <c r="G1" i="7"/>
  <c r="F1" i="7"/>
  <c r="E1" i="7"/>
  <c r="D1" i="7"/>
  <c r="C1" i="7"/>
  <c r="B1" i="7"/>
  <c r="A1" i="7"/>
</calcChain>
</file>

<file path=xl/sharedStrings.xml><?xml version="1.0" encoding="utf-8"?>
<sst xmlns="http://schemas.openxmlformats.org/spreadsheetml/2006/main" count="215" uniqueCount="169">
  <si>
    <t>Training organization information</t>
  </si>
  <si>
    <t>Organization name:</t>
  </si>
  <si>
    <t>Mailing address:</t>
  </si>
  <si>
    <t>Point of contact information</t>
  </si>
  <si>
    <t>Name:</t>
  </si>
  <si>
    <t>Email:</t>
  </si>
  <si>
    <t>Phone:</t>
  </si>
  <si>
    <t>Skype:</t>
  </si>
  <si>
    <t>Trainers for this session (up to 4):</t>
  </si>
  <si>
    <t>Instructor #1:</t>
  </si>
  <si>
    <t>Instructor #2:</t>
  </si>
  <si>
    <t>Instructor #3:</t>
  </si>
  <si>
    <t>Instructor #4:</t>
  </si>
  <si>
    <t>Assessment</t>
  </si>
  <si>
    <t>Learning Objective</t>
  </si>
  <si>
    <t>Referenced Material</t>
  </si>
  <si>
    <t>Explanation</t>
  </si>
  <si>
    <t>Assessment Method</t>
  </si>
  <si>
    <t>Reviewer Comments</t>
  </si>
  <si>
    <t>Student Manual</t>
  </si>
  <si>
    <t>Slides</t>
  </si>
  <si>
    <t>Exercises</t>
  </si>
  <si>
    <t>Instructors Guide</t>
  </si>
  <si>
    <t>Handouts</t>
  </si>
  <si>
    <t>1.1.1</t>
  </si>
  <si>
    <t>1.1.2</t>
  </si>
  <si>
    <t>1.2.1</t>
  </si>
  <si>
    <t>1.2.2</t>
  </si>
  <si>
    <t>Number</t>
  </si>
  <si>
    <t>Title</t>
  </si>
  <si>
    <t>Context</t>
  </si>
  <si>
    <t>LO</t>
  </si>
  <si>
    <t>Acceptance Tests</t>
  </si>
  <si>
    <t>AAAAAGrv50E=</t>
  </si>
  <si>
    <t>AAAAAGrv50I=</t>
  </si>
  <si>
    <t>The instructor “knows it all” and refuses to consider different ways of presenting the content.</t>
  </si>
  <si>
    <t>The instructor is curious but may not be comfortable adapting without guidance or support from a more experienced person.</t>
  </si>
  <si>
    <t>The instructor actively solicits new ideas, is looking for ways to enhance their teaching style and is eager to experiment with different teaching modes.</t>
  </si>
  <si>
    <t>The instructor’s personal experience of the specific certification domain is very limited or only theoretical.</t>
  </si>
  <si>
    <t>The instructor has worked in at least two teams for at least one year with a single approach.  They know that approach well and can explain why it works in the context they used it in. The instructor has worked on teams in the certification's specific domain.</t>
  </si>
  <si>
    <t>The instructor has stories to tell which emphasize and reinforce the key areas of the LOs, they can talk about working in multiple environments using different approaches and can explain the context for the selections which were made.</t>
  </si>
  <si>
    <t>The instructor exhibits a mindset which is rigid or inflexible.</t>
  </si>
  <si>
    <t>The instructor conveys a growth mindset in every aspect of the conversation with the accreditor, seeking feedback, and showing humility and genuine concern for the participant’s learning.</t>
  </si>
  <si>
    <t>Instructor exhibits a growth mindset in action.</t>
  </si>
  <si>
    <t>The instructor gets lost in the sequence of the content and will miss topics in delivery.  They have to follow the sequence of the script and cannot deviate.</t>
  </si>
  <si>
    <t>The instructor can jump around the content without getting lost and ensures the LOs are covered.</t>
  </si>
  <si>
    <t>The instructor is able to seamlessly segue between topics, can relate the conversations in the classroom to the learning outcomes and ensures the LOs are covered even if that part of the course material is not delivered directly.</t>
  </si>
  <si>
    <t>Instructor understands the intent behind the LOs and will be able to deliver the class in a fluid format.</t>
  </si>
  <si>
    <t>RESULTS</t>
  </si>
  <si>
    <t>INADEQUATE</t>
  </si>
  <si>
    <t>SATISFACTORY</t>
  </si>
  <si>
    <t>PROFICIENT</t>
  </si>
  <si>
    <t>CRITERIA</t>
  </si>
  <si>
    <t>COMMENTS:</t>
  </si>
  <si>
    <t>DATE:</t>
  </si>
  <si>
    <t>INSTRUCTOR(S):</t>
  </si>
  <si>
    <t>ACCREDITOR:</t>
  </si>
  <si>
    <t>Please add a new column for each new Authorized Instructor.</t>
  </si>
  <si>
    <t>INSTRUCTOR AUTHORIZATION</t>
  </si>
  <si>
    <t>The instructor understands and exhibits a growth mindset around their ability to teach the class and their knowledge of blockchain principles and practices.</t>
  </si>
  <si>
    <t>The instructor brings real blockchain experience to their role.</t>
  </si>
  <si>
    <t>The instructor understands and can explain the key concepts, while remaining open to learning and curious.</t>
  </si>
  <si>
    <t>1.3.1</t>
  </si>
  <si>
    <t>1.3.2</t>
  </si>
  <si>
    <t>1.4.1</t>
  </si>
  <si>
    <t>1.4.2</t>
  </si>
  <si>
    <t>1.4.3</t>
  </si>
  <si>
    <t>1.5.1</t>
  </si>
  <si>
    <t>1.5.2</t>
  </si>
  <si>
    <t>1.6.1</t>
  </si>
  <si>
    <t>1.6.2</t>
  </si>
  <si>
    <t>1.6.3</t>
  </si>
  <si>
    <t>Certified Bitcoin Framework Professional</t>
  </si>
  <si>
    <t>Evaluation Matrix for Certified Bitcoin Framework Professional (IC-CBFP)</t>
  </si>
  <si>
    <t>Certified Bitcoin Framework Professional (IC-CBFP) Learning Objectives</t>
  </si>
  <si>
    <t>History of Money and and Ledger-based Economics</t>
  </si>
  <si>
    <t>1.1.3</t>
  </si>
  <si>
    <t>1.1.4</t>
  </si>
  <si>
    <t>1.1.5</t>
  </si>
  <si>
    <t>Centralized Ledgers</t>
  </si>
  <si>
    <t>Functions of Currency</t>
  </si>
  <si>
    <t>Distributed Consensus</t>
  </si>
  <si>
    <t>History of Bitcoin</t>
  </si>
  <si>
    <t>Price Derivation</t>
  </si>
  <si>
    <t>Basic Cryptography</t>
  </si>
  <si>
    <t>Terms and Definitions</t>
  </si>
  <si>
    <t>1.2.3</t>
  </si>
  <si>
    <t>1.2.4</t>
  </si>
  <si>
    <t>Hash Functions</t>
  </si>
  <si>
    <t>Symmetric and Asymmetric Encryption</t>
  </si>
  <si>
    <t>Digital Signatures</t>
  </si>
  <si>
    <t>Bitcoin Basics</t>
  </si>
  <si>
    <t>1.3.3</t>
  </si>
  <si>
    <t>1.3.4</t>
  </si>
  <si>
    <t>1.3.5</t>
  </si>
  <si>
    <t>1.3.6</t>
  </si>
  <si>
    <t>1.3.7</t>
  </si>
  <si>
    <t>1.3.8</t>
  </si>
  <si>
    <t>1.3.9</t>
  </si>
  <si>
    <t>1.3.10</t>
  </si>
  <si>
    <t>Bitcoin Community</t>
  </si>
  <si>
    <t>Bitcoin Addresses and Keys</t>
  </si>
  <si>
    <t>Bitcoin Transactions</t>
  </si>
  <si>
    <t>Bitcoin Blockchain Ledger</t>
  </si>
  <si>
    <t>Bitcoin the Unit</t>
  </si>
  <si>
    <t>Bitcoin the Network</t>
  </si>
  <si>
    <t>Buying and Selling bitcoin</t>
  </si>
  <si>
    <t>Blockchain Explorers</t>
  </si>
  <si>
    <t>UTXOs</t>
  </si>
  <si>
    <t>Mining</t>
  </si>
  <si>
    <t>Purpose and Function</t>
  </si>
  <si>
    <t>Algorithm</t>
  </si>
  <si>
    <t>Mining Pools</t>
  </si>
  <si>
    <t>1.4.4</t>
  </si>
  <si>
    <t>1.4.5</t>
  </si>
  <si>
    <t>Mining Hardware</t>
  </si>
  <si>
    <t>Security and Centralization</t>
  </si>
  <si>
    <t>Wallets, Clients and Key Management</t>
  </si>
  <si>
    <t>1.5.3</t>
  </si>
  <si>
    <t>1.5.4</t>
  </si>
  <si>
    <t>1.5.5</t>
  </si>
  <si>
    <t>1.5.6</t>
  </si>
  <si>
    <t>Wallet Types</t>
  </si>
  <si>
    <t>Bitcoin Clients</t>
  </si>
  <si>
    <t>Deterministic Wallets (AKA BIP32)</t>
  </si>
  <si>
    <t>Passphrase-Encrypted Wallets (AKA BIP38)</t>
  </si>
  <si>
    <t>Backup</t>
  </si>
  <si>
    <t>Importing and Exporting</t>
  </si>
  <si>
    <t>Bitcoin Commerce</t>
  </si>
  <si>
    <t>Bitcoin as a Merchant</t>
  </si>
  <si>
    <t>Bitcoin Payment Processors</t>
  </si>
  <si>
    <t>Secure Payment Protocol (AKA BIP70)</t>
  </si>
  <si>
    <t>Bitcoin Framework</t>
  </si>
  <si>
    <t>Students should have knowledge on Cryptocurrencies and Blockchain Technology</t>
  </si>
  <si>
    <t>The purpose of this LO is to recap the functions of currency</t>
  </si>
  <si>
    <t>The purpose of this LO is to know the history of Bitcoin, the first cryptocurrency</t>
  </si>
  <si>
    <t>The purpose of this LO is to know the price derivation of bitcoin</t>
  </si>
  <si>
    <t>The purpose of this LO is to know the terms and definitions of cryptography</t>
  </si>
  <si>
    <t>The purpose of this LO is to know the purpose and function of mining and miners</t>
  </si>
  <si>
    <t>The purpose of this LO is to learn about the mining pools</t>
  </si>
  <si>
    <t>The purpose of this LO is to learn about the mining hardware</t>
  </si>
  <si>
    <t>The purpose of this LO is to learn about the security and centralization</t>
  </si>
  <si>
    <t>The purpose of this LO is to learn about the different types of wallets</t>
  </si>
  <si>
    <t>The purpose of this LO is to learn about the different types of bitcoin clients</t>
  </si>
  <si>
    <t>The purpose of this LO is to learn how to make bitcoin as a payment in real time business</t>
  </si>
  <si>
    <t>Bitcoin Framework Professional</t>
  </si>
  <si>
    <t>The purpose of this LO is to recap what are centralized ledgers and how they work</t>
  </si>
  <si>
    <t>The purpose of this LO is to know how the distributed consensus works on different blockchains</t>
  </si>
  <si>
    <t>The purpose of this LO is to know how Hash functions which take an input (or 'message') and returns a fixed-size alphanumeric string in Bitcoin</t>
  </si>
  <si>
    <t>The purpose of this LO is to know about Symmetric and Asymmetric Encryption. Symmetric Encryption uses the same key for both encryption and decryption where as Asymmetric Encryption uses public and private keys</t>
  </si>
  <si>
    <t>The purpose of this LO is to know how digital signatures work in bitcoin network. Digital signatures are used to simultaneously provide authentication, data integrity, and non-repudiation, all of which are critical to Bitcoin’s operation.</t>
  </si>
  <si>
    <t>The purpose of this LO is to know about the bitcoin communities for bitcoin and other crypto users to earn, learn, buy, sell and trade bitcoins to other trusted bitcoin community members directly.</t>
  </si>
  <si>
    <t>The purpose of this LO is to know how the bitcoin addresses and keys work. A Bitcoin address is a 160-bit hash of the public portion of a public/private ECDSA keypair.</t>
  </si>
  <si>
    <t>The purpose of this LO is to know how the transactions are carried on the bitcoin blockchain.</t>
  </si>
  <si>
    <t>The purpose of this LO is to know how the bitcoin blockchain works and how the transactions are validated and stored on the blockchain</t>
  </si>
  <si>
    <t>The purpose of this LO is to know the denominations of bitcoin. Small amounts of bitcoin used as alternative units are millibitcoin (mBTC), bit (ƀ) and satoshi (sat). Named in homage to bitcoin's creator, a satoshi is the smallest amount within bitcoin representing 0.00000001 bitcoins, one hundred millionth of a bitcoin.</t>
  </si>
  <si>
    <t>The purpose of this LO is to know how the bitcoin network which is a peer-to-peer payment network operates on a cryptographic protocol. Users send and receive bitcoins, the units of currency, by broadcasting digitally signed messages to the network using bitcoin cryptocurrency wallet software.</t>
  </si>
  <si>
    <t>BIPS</t>
  </si>
  <si>
    <t>The purpose of this LO is to know about BIPS which is a Payment Service Provider (PSP) specializing in the technical aspects of accepting Bitcoin</t>
  </si>
  <si>
    <t>The purpose of this LO is to know how the different ways in which you can buy or sell bitcoins</t>
  </si>
  <si>
    <t>The purpose of this LO is to know the various explorers used to explore the bitcoin transactions</t>
  </si>
  <si>
    <t>The purpose of this LO is to learn the mining algorithms used in Bitcoin</t>
  </si>
  <si>
    <t xml:space="preserve">The purpose of this LO is to learn about the deterministic wallets. A deterministic wallet is a system of deriving keys from a single starting point known as a seed. The seed allows a user to easily back up and restore a wallet without needing any other information and can in some cases allow the creation of public addresses without the knowledge of the private key. </t>
  </si>
  <si>
    <t>The purpose of this LO is to know about the UTXOs(Unspent Transaction Outputs). In an accepted transaction in a Bitcoin payment system, only unspent outputs can be used as inputs to a transaction.</t>
  </si>
  <si>
    <t>The purpose of this LO is to learn about the passphrase encrypted wallets. By using a passphrase, you “lock” your coins from being spent. Even if an attacker were to gain access to the device on which your bitcoin wallet is running, they would not be able to do so.</t>
  </si>
  <si>
    <t>The purpose of this LO is to learn how to import or export the Bitcoin wallets</t>
  </si>
  <si>
    <t>The purpose of this LO is to learn how to backup the Bitcoin wallets. Wallet Backup is a file containing a wallet’s private key information. Backups can be exported from a wallet or imported to a wallet.</t>
  </si>
  <si>
    <t>The purpose of this LO is to learn about bitcoin payment processors that will enable you to accept Bitcoin for payments on your e-commerce platform</t>
  </si>
  <si>
    <t>The purpose of this LO is to learn about the bitcoin payment protocol</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</si>
</sst>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rgb="FF000000"/>
      <name val="Calibri"/>
    </font>
    <font>
      <sz val="12"/>
      <color theme="1"/>
      <name val="Calibri"/>
      <family val="2"/>
      <scheme val="minor"/>
    </font>
    <font>
      <b/>
      <sz val="14"/>
      <color rgb="FF003366"/>
      <name val="Arial"/>
    </font>
    <font>
      <b/>
      <sz val="11"/>
      <color rgb="FF003366"/>
      <name val="Calibri"/>
    </font>
    <font>
      <sz val="11"/>
      <name val="Calibri"/>
    </font>
    <font>
      <sz val="11"/>
      <color rgb="FF003366"/>
      <name val="Calibri"/>
    </font>
    <font>
      <u/>
      <sz val="11"/>
      <color rgb="FF0000FF"/>
      <name val="Calibri"/>
    </font>
    <font>
      <b/>
      <sz val="11"/>
      <color rgb="FF000000"/>
      <name val="Calibri"/>
    </font>
    <font>
      <b/>
      <sz val="11"/>
      <color rgb="FFFFFFFF"/>
      <name val="Calibri"/>
    </font>
    <font>
      <b/>
      <sz val="11"/>
      <name val="Calibri"/>
    </font>
    <font>
      <b/>
      <sz val="12"/>
      <color rgb="FFFFFFFF"/>
      <name val="Calibri"/>
    </font>
    <font>
      <b/>
      <sz val="11"/>
      <color rgb="FFFF0000"/>
      <name val="Calibri"/>
    </font>
    <font>
      <sz val="12"/>
      <color rgb="FF006100"/>
      <name val="Calibri"/>
    </font>
    <font>
      <sz val="12"/>
      <color rgb="FF3F3151"/>
      <name val="Calibri"/>
    </font>
    <font>
      <b/>
      <sz val="22"/>
      <color rgb="FF000000"/>
      <name val="Calibri"/>
    </font>
    <font>
      <sz val="12"/>
      <color rgb="FF000000"/>
      <name val="Calibri"/>
    </font>
    <font>
      <sz val="11"/>
      <color indexed="8"/>
      <name val="Calibri"/>
      <family val="2"/>
    </font>
    <font>
      <sz val="8"/>
      <name val="Calibri"/>
    </font>
    <font>
      <u/>
      <sz val="11"/>
      <color theme="10"/>
      <name val="Calibri"/>
    </font>
    <font>
      <sz val="11"/>
      <color rgb="FF000000"/>
      <name val="Calibri"/>
      <family val="2"/>
    </font>
    <font>
      <sz val="10"/>
      <color rgb="FF404041"/>
      <name val="Arial"/>
      <family val="2"/>
    </font>
    <font>
      <sz val="10"/>
      <name val="Arial"/>
      <family val="2"/>
    </font>
    <font>
      <b/>
      <sz val="9"/>
      <color rgb="FFFFFFFF"/>
      <name val="Arial"/>
      <family val="2"/>
    </font>
    <font>
      <sz val="14"/>
      <color theme="8"/>
      <name val="Arial"/>
      <family val="2"/>
    </font>
    <font>
      <sz val="11"/>
      <color theme="8"/>
      <name val="Arial"/>
      <family val="2"/>
    </font>
    <font>
      <b/>
      <sz val="11"/>
      <color theme="8"/>
      <name val="Arial"/>
      <family val="2"/>
    </font>
    <font>
      <sz val="9"/>
      <color theme="8"/>
      <name val="Arial"/>
      <family val="2"/>
    </font>
    <font>
      <sz val="11"/>
      <color theme="8"/>
      <name val="Calibri"/>
      <family val="2"/>
    </font>
    <font>
      <sz val="10"/>
      <color theme="8"/>
      <name val="Arial"/>
      <family val="2"/>
    </font>
    <font>
      <b/>
      <sz val="11"/>
      <color rgb="FF000000"/>
      <name val="Calibri"/>
      <family val="2"/>
    </font>
    <font>
      <i/>
      <sz val="11"/>
      <color rgb="FF000000"/>
      <name val="Calibri"/>
      <family val="2"/>
    </font>
    <font>
      <sz val="11"/>
      <name val="Calibri"/>
      <family val="2"/>
    </font>
  </fonts>
  <fills count="20">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1F497D"/>
        <bgColor rgb="FF1F497D"/>
      </patternFill>
    </fill>
    <fill>
      <patternFill patternType="solid">
        <fgColor rgb="FF008040"/>
        <bgColor rgb="FF008040"/>
      </patternFill>
    </fill>
    <fill>
      <patternFill patternType="solid">
        <fgColor rgb="FF5F497A"/>
        <bgColor rgb="FF5F497A"/>
      </patternFill>
    </fill>
    <fill>
      <patternFill patternType="solid">
        <fgColor rgb="FF7F7F7F"/>
        <bgColor rgb="FF7F7F7F"/>
      </patternFill>
    </fill>
    <fill>
      <patternFill patternType="solid">
        <fgColor rgb="FF17365D"/>
        <bgColor rgb="FF17365D"/>
      </patternFill>
    </fill>
    <fill>
      <patternFill patternType="solid">
        <fgColor rgb="FFEBF1DE"/>
        <bgColor rgb="FFEBF1DE"/>
      </patternFill>
    </fill>
    <fill>
      <patternFill patternType="solid">
        <fgColor rgb="FFB8CCE4"/>
        <bgColor rgb="FFB8CCE4"/>
      </patternFill>
    </fill>
    <fill>
      <patternFill patternType="solid">
        <fgColor rgb="FFC6EFCE"/>
        <bgColor rgb="FFC6EFCE"/>
      </patternFill>
    </fill>
    <fill>
      <patternFill patternType="solid">
        <fgColor rgb="FFE5DFEC"/>
        <bgColor rgb="FFE5DFEC"/>
      </patternFill>
    </fill>
    <fill>
      <patternFill patternType="solid">
        <fgColor rgb="FFBFBFBF"/>
        <bgColor rgb="FFBFBFBF"/>
      </patternFill>
    </fill>
    <fill>
      <patternFill patternType="solid">
        <fgColor rgb="FFEAF1DD"/>
        <bgColor rgb="FFEAF1DD"/>
      </patternFill>
    </fill>
    <fill>
      <patternFill patternType="solid">
        <fgColor rgb="FFEDEDED"/>
        <bgColor rgb="FFEDEDED"/>
      </patternFill>
    </fill>
    <fill>
      <patternFill patternType="solid">
        <fgColor theme="8"/>
        <bgColor rgb="FFB52372"/>
      </patternFill>
    </fill>
    <fill>
      <patternFill patternType="solid">
        <fgColor theme="8" tint="0.79998168889431442"/>
        <bgColor rgb="FFE5C3D0"/>
      </patternFill>
    </fill>
    <fill>
      <patternFill patternType="solid">
        <fgColor theme="1"/>
        <bgColor rgb="FF17365D"/>
      </patternFill>
    </fill>
    <fill>
      <patternFill patternType="solid">
        <fgColor theme="8" tint="0.39997558519241921"/>
        <bgColor rgb="FF17365D"/>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808080"/>
      </top>
      <bottom/>
      <diagonal/>
    </border>
    <border>
      <left/>
      <right/>
      <top style="thin">
        <color rgb="FF808080"/>
      </top>
      <bottom style="thin">
        <color rgb="FF000000"/>
      </bottom>
      <diagonal/>
    </border>
    <border>
      <left/>
      <right style="thin">
        <color rgb="FF808080"/>
      </right>
      <top style="thin">
        <color rgb="FF80808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B2B2B2"/>
      </right>
      <top style="thin">
        <color rgb="FFB2B2B2"/>
      </top>
      <bottom style="thin">
        <color rgb="FFB2B2B2"/>
      </bottom>
      <diagonal/>
    </border>
    <border>
      <left/>
      <right/>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indexed="64"/>
      </top>
      <bottom style="thin">
        <color rgb="FF000000"/>
      </bottom>
      <diagonal/>
    </border>
    <border>
      <left style="thin">
        <color rgb="FFFFFFFF"/>
      </left>
      <right style="thin">
        <color rgb="FFECEBEA"/>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ECEBEA"/>
      </left>
      <right style="thin">
        <color rgb="FFFFFFFF"/>
      </right>
      <top style="thin">
        <color rgb="FFECEBEA"/>
      </top>
      <bottom style="thin">
        <color rgb="FFECEBEA"/>
      </bottom>
      <diagonal/>
    </border>
    <border>
      <left style="thin">
        <color rgb="FFECEBEA"/>
      </left>
      <right style="thin">
        <color rgb="FFECEBEA"/>
      </right>
      <top style="thin">
        <color rgb="FFECEBEA"/>
      </top>
      <bottom style="thin">
        <color rgb="FFECEBEA"/>
      </bottom>
      <diagonal/>
    </border>
    <border>
      <left style="thin">
        <color rgb="FFFFFFFF"/>
      </left>
      <right style="thin">
        <color rgb="FFECEBEA"/>
      </right>
      <top style="thin">
        <color rgb="FFECEBEA"/>
      </top>
      <bottom/>
      <diagonal/>
    </border>
    <border>
      <left/>
      <right style="thin">
        <color rgb="FFFFFFFF"/>
      </right>
      <top style="thin">
        <color rgb="FFFFFFFF"/>
      </top>
      <bottom/>
      <diagonal/>
    </border>
    <border>
      <left style="thin">
        <color rgb="FFFFFFFF"/>
      </left>
      <right style="thin">
        <color rgb="FFECEBEA"/>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ECEBEA"/>
      </right>
      <top style="thin">
        <color rgb="FFECEBEA"/>
      </top>
      <bottom style="thin">
        <color rgb="FFECEBEA"/>
      </bottom>
      <diagonal/>
    </border>
    <border>
      <left/>
      <right style="thin">
        <color rgb="FFFFFFFF"/>
      </right>
      <top style="thin">
        <color rgb="FFFFFFFF"/>
      </top>
      <bottom style="thin">
        <color rgb="FFFFFFFF"/>
      </bottom>
      <diagonal/>
    </border>
    <border>
      <left style="thin">
        <color rgb="FFFFFFFF"/>
      </left>
      <right style="thin">
        <color rgb="FFECEBEA"/>
      </right>
      <top/>
      <bottom style="thin">
        <color rgb="FFFFFFFF"/>
      </bottom>
      <diagonal/>
    </border>
    <border>
      <left style="thin">
        <color rgb="FFECEBEA"/>
      </left>
      <right style="thin">
        <color rgb="FFFFFFFF"/>
      </right>
      <top/>
      <bottom style="thin">
        <color rgb="FFECEBEA"/>
      </bottom>
      <diagonal/>
    </border>
    <border>
      <left style="thin">
        <color rgb="FFECEBEA"/>
      </left>
      <right style="thin">
        <color rgb="FFECEBEA"/>
      </right>
      <top/>
      <bottom style="thin">
        <color rgb="FFECEBEA"/>
      </bottom>
      <diagonal/>
    </border>
    <border>
      <left style="thin">
        <color rgb="FFFFFFFF"/>
      </left>
      <right style="thin">
        <color rgb="FFECEBEA"/>
      </right>
      <top/>
      <bottom style="thin">
        <color rgb="FFECEBEA"/>
      </bottom>
      <diagonal/>
    </border>
    <border>
      <left/>
      <right style="thin">
        <color rgb="FFFFFFFF"/>
      </right>
      <top/>
      <bottom style="thin">
        <color rgb="FFFFFFFF"/>
      </bottom>
      <diagonal/>
    </border>
    <border>
      <left style="thin">
        <color theme="9"/>
      </left>
      <right style="thin">
        <color theme="9"/>
      </right>
      <top style="thin">
        <color theme="9"/>
      </top>
      <bottom style="thin">
        <color theme="9"/>
      </bottom>
      <diagonal/>
    </border>
    <border>
      <left style="thin">
        <color rgb="FFFFFFFF"/>
      </left>
      <right style="thin">
        <color rgb="FFECEBEA"/>
      </right>
      <top/>
      <bottom/>
      <diagonal/>
    </border>
    <border>
      <left/>
      <right style="thin">
        <color rgb="FFFFFFFF"/>
      </right>
      <top/>
      <bottom/>
      <diagonal/>
    </border>
    <border>
      <left style="thin">
        <color rgb="FFFFFFFF"/>
      </left>
      <right style="thin">
        <color rgb="FFECEBEA"/>
      </right>
      <top style="thick">
        <color theme="8"/>
      </top>
      <bottom style="thick">
        <color theme="8"/>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style="thick">
        <color theme="8"/>
      </top>
      <bottom style="thick">
        <color theme="8"/>
      </bottom>
      <diagonal/>
    </border>
    <border>
      <left/>
      <right/>
      <top style="medium">
        <color theme="8"/>
      </top>
      <bottom/>
      <diagonal/>
    </border>
    <border>
      <left style="thin">
        <color rgb="FFECEBEA"/>
      </left>
      <right style="thin">
        <color rgb="FFECEBEA"/>
      </right>
      <top style="thin">
        <color rgb="FFECEBEA"/>
      </top>
      <bottom/>
      <diagonal/>
    </border>
    <border>
      <left style="thin">
        <color rgb="FFECEBEA"/>
      </left>
      <right style="thin">
        <color rgb="FFFFFFFF"/>
      </right>
      <top style="thin">
        <color rgb="FFECEBEA"/>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0" fontId="1" fillId="0" borderId="0"/>
    <xf numFmtId="0" fontId="16" fillId="0" borderId="0"/>
    <xf numFmtId="0" fontId="18" fillId="0" borderId="0" applyNumberFormat="0" applyFill="0" applyBorder="0" applyAlignment="0" applyProtection="0"/>
  </cellStyleXfs>
  <cellXfs count="122">
    <xf numFmtId="0" fontId="0" fillId="0" borderId="0" xfId="0" applyFont="1" applyAlignment="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2" fillId="2" borderId="0"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right"/>
    </xf>
    <xf numFmtId="0" fontId="4" fillId="2" borderId="0" xfId="0" applyFont="1" applyFill="1" applyBorder="1" applyAlignment="1">
      <alignment horizontal="right"/>
    </xf>
    <xf numFmtId="0" fontId="0" fillId="3" borderId="6" xfId="0" applyFont="1" applyFill="1" applyBorder="1"/>
    <xf numFmtId="0" fontId="5" fillId="2" borderId="0" xfId="0" applyFont="1" applyFill="1" applyBorder="1"/>
    <xf numFmtId="0" fontId="5" fillId="3" borderId="6" xfId="0" applyFont="1" applyFill="1" applyBorder="1"/>
    <xf numFmtId="0" fontId="5" fillId="2" borderId="0" xfId="0" applyFont="1" applyFill="1" applyBorder="1" applyAlignment="1">
      <alignment horizontal="right"/>
    </xf>
    <xf numFmtId="0" fontId="0" fillId="2" borderId="7" xfId="0" applyFont="1" applyFill="1" applyBorder="1"/>
    <xf numFmtId="0" fontId="0" fillId="2" borderId="8" xfId="0" applyFont="1" applyFill="1" applyBorder="1"/>
    <xf numFmtId="0" fontId="0" fillId="2" borderId="9" xfId="0" applyFont="1" applyFill="1" applyBorder="1"/>
    <xf numFmtId="0" fontId="0" fillId="0" borderId="0" xfId="0" applyFont="1"/>
    <xf numFmtId="0" fontId="5" fillId="3" borderId="17" xfId="0" applyFont="1" applyFill="1" applyBorder="1"/>
    <xf numFmtId="0" fontId="6" fillId="0" borderId="0" xfId="0" applyFont="1"/>
    <xf numFmtId="0" fontId="5" fillId="3" borderId="6" xfId="0" applyFont="1" applyFill="1" applyBorder="1" applyAlignment="1">
      <alignment wrapText="1"/>
    </xf>
    <xf numFmtId="0" fontId="18" fillId="3" borderId="6" xfId="3" applyFill="1" applyBorder="1"/>
    <xf numFmtId="0" fontId="20" fillId="15" borderId="19" xfId="0" applyFont="1" applyFill="1" applyBorder="1" applyAlignment="1">
      <alignment horizontal="center" vertical="center" wrapText="1"/>
    </xf>
    <xf numFmtId="0" fontId="21" fillId="15" borderId="20" xfId="0" applyFont="1" applyFill="1" applyBorder="1" applyAlignment="1">
      <alignment horizontal="center"/>
    </xf>
    <xf numFmtId="0" fontId="20" fillId="15"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15" borderId="26" xfId="0" applyFont="1" applyFill="1" applyBorder="1" applyAlignment="1">
      <alignment horizontal="center" vertical="center" wrapText="1"/>
    </xf>
    <xf numFmtId="0" fontId="21" fillId="15" borderId="27" xfId="0" applyFont="1" applyFill="1" applyBorder="1" applyAlignment="1">
      <alignment horizontal="center"/>
    </xf>
    <xf numFmtId="0" fontId="20" fillId="1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15" borderId="31" xfId="0" applyFont="1" applyFill="1" applyBorder="1" applyAlignment="1">
      <alignment horizontal="center" vertical="center" wrapText="1"/>
    </xf>
    <xf numFmtId="0" fontId="20" fillId="15" borderId="27"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4" fillId="0" borderId="28" xfId="0" applyFont="1" applyBorder="1" applyAlignment="1">
      <alignment vertical="center"/>
    </xf>
    <xf numFmtId="0" fontId="25" fillId="2" borderId="28" xfId="0" applyFont="1" applyFill="1" applyBorder="1" applyAlignment="1">
      <alignment horizontal="right" wrapText="1"/>
    </xf>
    <xf numFmtId="0" fontId="24" fillId="0" borderId="21" xfId="0" applyFont="1" applyBorder="1" applyAlignment="1">
      <alignment vertical="center"/>
    </xf>
    <xf numFmtId="0" fontId="25" fillId="2" borderId="21" xfId="0" applyFont="1" applyFill="1" applyBorder="1" applyAlignment="1">
      <alignment horizontal="right" wrapText="1"/>
    </xf>
    <xf numFmtId="0" fontId="28" fillId="2" borderId="20" xfId="0" applyFont="1" applyFill="1" applyBorder="1" applyAlignment="1">
      <alignment vertical="center" wrapText="1"/>
    </xf>
    <xf numFmtId="0" fontId="28" fillId="2" borderId="20" xfId="0" applyFont="1" applyFill="1" applyBorder="1"/>
    <xf numFmtId="0" fontId="28" fillId="2" borderId="37" xfId="0" applyFont="1" applyFill="1" applyBorder="1" applyAlignment="1">
      <alignment vertical="center" wrapText="1"/>
    </xf>
    <xf numFmtId="0" fontId="28" fillId="2" borderId="42" xfId="0" applyFont="1" applyFill="1" applyBorder="1" applyAlignment="1">
      <alignment vertical="center" wrapText="1"/>
    </xf>
    <xf numFmtId="0" fontId="28" fillId="2" borderId="42" xfId="0" applyFont="1" applyFill="1" applyBorder="1"/>
    <xf numFmtId="0" fontId="28" fillId="2" borderId="39" xfId="0" applyFont="1" applyFill="1" applyBorder="1" applyAlignment="1">
      <alignment vertical="center" wrapText="1"/>
    </xf>
    <xf numFmtId="0" fontId="22" fillId="16" borderId="36" xfId="0" applyFont="1" applyFill="1" applyBorder="1" applyAlignment="1">
      <alignment horizontal="center" vertical="center" wrapText="1"/>
    </xf>
    <xf numFmtId="0" fontId="21" fillId="17" borderId="35" xfId="0" applyFont="1" applyFill="1" applyBorder="1" applyAlignment="1">
      <alignment horizontal="center" vertical="center" wrapText="1"/>
    </xf>
    <xf numFmtId="0" fontId="21" fillId="17" borderId="30" xfId="0" applyFont="1" applyFill="1" applyBorder="1" applyAlignment="1">
      <alignment horizontal="center" vertical="center" wrapText="1"/>
    </xf>
    <xf numFmtId="0" fontId="21" fillId="17" borderId="25"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0" fillId="0" borderId="43" xfId="0" applyFont="1" applyBorder="1" applyAlignment="1"/>
    <xf numFmtId="0" fontId="29" fillId="14" borderId="18" xfId="0" applyFont="1" applyFill="1" applyBorder="1" applyAlignment="1">
      <alignment horizontal="center" vertical="top" wrapText="1"/>
    </xf>
    <xf numFmtId="0" fontId="29" fillId="0" borderId="18" xfId="0" applyFont="1" applyBorder="1" applyAlignment="1">
      <alignment horizontal="center" vertical="top"/>
    </xf>
    <xf numFmtId="0" fontId="29" fillId="0" borderId="18" xfId="0" applyFont="1" applyBorder="1" applyAlignment="1" applyProtection="1">
      <alignment horizontal="center" vertical="top" wrapText="1"/>
      <protection hidden="1"/>
    </xf>
    <xf numFmtId="0" fontId="29" fillId="0" borderId="18" xfId="0" applyFont="1" applyBorder="1" applyAlignment="1">
      <alignment horizontal="center" vertical="top" wrapText="1"/>
    </xf>
    <xf numFmtId="0" fontId="29" fillId="0" borderId="6" xfId="0" applyFont="1" applyBorder="1" applyAlignment="1">
      <alignment horizontal="center" vertical="top" wrapText="1"/>
    </xf>
    <xf numFmtId="0" fontId="7" fillId="0" borderId="0" xfId="0" applyFont="1" applyAlignment="1">
      <alignment horizontal="center" vertical="top"/>
    </xf>
    <xf numFmtId="0" fontId="0" fillId="0" borderId="0" xfId="0" applyFont="1" applyAlignment="1">
      <alignment vertical="top"/>
    </xf>
    <xf numFmtId="0" fontId="4" fillId="0" borderId="6" xfId="0" applyFont="1" applyBorder="1" applyAlignment="1">
      <alignment horizontal="left" vertical="top" wrapText="1"/>
    </xf>
    <xf numFmtId="0" fontId="19" fillId="0" borderId="9" xfId="0" applyFont="1" applyBorder="1" applyAlignment="1">
      <alignment vertical="top" wrapText="1"/>
    </xf>
    <xf numFmtId="0" fontId="7" fillId="9" borderId="9" xfId="0" applyFont="1" applyFill="1" applyBorder="1" applyAlignment="1">
      <alignment vertical="top" wrapText="1"/>
    </xf>
    <xf numFmtId="0" fontId="7" fillId="9" borderId="14" xfId="0" applyFont="1" applyFill="1" applyBorder="1" applyAlignment="1">
      <alignment horizontal="right" vertical="top"/>
    </xf>
    <xf numFmtId="0" fontId="0" fillId="0" borderId="9" xfId="0" applyFont="1" applyBorder="1" applyAlignment="1">
      <alignment vertical="top" wrapText="1"/>
    </xf>
    <xf numFmtId="0" fontId="0" fillId="0" borderId="14" xfId="0" applyFont="1" applyBorder="1" applyAlignment="1">
      <alignment horizontal="right" vertical="top"/>
    </xf>
    <xf numFmtId="0" fontId="19" fillId="0" borderId="14" xfId="0" applyFont="1" applyBorder="1" applyAlignment="1">
      <alignment horizontal="right" vertical="top"/>
    </xf>
    <xf numFmtId="0" fontId="29" fillId="9" borderId="9" xfId="0" applyFont="1" applyFill="1" applyBorder="1" applyAlignment="1">
      <alignment vertical="top" wrapText="1"/>
    </xf>
    <xf numFmtId="0" fontId="31" fillId="0" borderId="6" xfId="0" applyFont="1" applyBorder="1" applyAlignment="1">
      <alignment horizontal="left" vertical="top" wrapText="1"/>
    </xf>
    <xf numFmtId="0" fontId="30" fillId="0" borderId="6" xfId="0" applyFont="1" applyBorder="1" applyAlignment="1" applyProtection="1">
      <alignment horizontal="left" vertical="top" wrapText="1"/>
      <protection locked="0"/>
    </xf>
    <xf numFmtId="0" fontId="10" fillId="18" borderId="13" xfId="0" applyFont="1" applyFill="1" applyBorder="1" applyAlignment="1">
      <alignment vertical="top" wrapText="1"/>
    </xf>
    <xf numFmtId="0" fontId="10" fillId="19" borderId="6" xfId="0" applyFont="1" applyFill="1" applyBorder="1" applyAlignment="1">
      <alignment horizontal="right" vertical="top"/>
    </xf>
    <xf numFmtId="0" fontId="10" fillId="19" borderId="13" xfId="0" applyFont="1" applyFill="1" applyBorder="1" applyAlignment="1">
      <alignment vertical="top" wrapText="1"/>
    </xf>
    <xf numFmtId="0" fontId="11" fillId="19" borderId="6" xfId="0" applyFont="1" applyFill="1" applyBorder="1" applyAlignment="1">
      <alignment horizontal="center" vertical="top" wrapText="1"/>
    </xf>
    <xf numFmtId="0" fontId="31" fillId="0" borderId="9" xfId="0" applyFont="1" applyBorder="1" applyAlignment="1">
      <alignment horizontal="left" vertical="top" wrapText="1"/>
    </xf>
    <xf numFmtId="0" fontId="4" fillId="0" borderId="9" xfId="0" applyFont="1" applyBorder="1" applyAlignment="1">
      <alignment horizontal="left" vertical="top" wrapText="1"/>
    </xf>
    <xf numFmtId="0" fontId="14" fillId="0" borderId="0" xfId="0" applyFont="1" applyBorder="1" applyAlignment="1">
      <alignment horizontal="left" vertical="top"/>
    </xf>
    <xf numFmtId="0" fontId="26" fillId="0" borderId="40" xfId="0" applyFont="1" applyBorder="1" applyAlignment="1">
      <alignment horizontal="center" vertical="center"/>
    </xf>
    <xf numFmtId="0" fontId="27" fillId="0" borderId="41" xfId="0" applyFont="1" applyBorder="1"/>
    <xf numFmtId="0" fontId="27" fillId="0" borderId="25" xfId="0" applyFont="1" applyBorder="1"/>
    <xf numFmtId="0" fontId="23" fillId="0" borderId="25" xfId="0" applyFont="1" applyBorder="1" applyAlignment="1">
      <alignment horizontal="center" vertical="center" wrapText="1"/>
    </xf>
    <xf numFmtId="0" fontId="23" fillId="0" borderId="38" xfId="0" applyFont="1" applyBorder="1" applyAlignment="1">
      <alignment horizontal="center" vertical="center" wrapText="1"/>
    </xf>
    <xf numFmtId="0" fontId="10" fillId="8" borderId="6" xfId="0" applyFont="1" applyFill="1" applyBorder="1" applyAlignment="1" applyProtection="1">
      <alignment horizontal="right" vertical="top"/>
    </xf>
    <xf numFmtId="0" fontId="10" fillId="8" borderId="13" xfId="0" applyFont="1" applyFill="1" applyBorder="1" applyAlignment="1" applyProtection="1">
      <alignment vertical="top" wrapText="1"/>
    </xf>
    <xf numFmtId="0" fontId="7" fillId="9" borderId="14" xfId="0" applyFont="1" applyFill="1" applyBorder="1" applyAlignment="1" applyProtection="1">
      <alignment horizontal="right" vertical="top"/>
    </xf>
    <xf numFmtId="0" fontId="7" fillId="9" borderId="9" xfId="0" applyFont="1" applyFill="1" applyBorder="1" applyAlignment="1" applyProtection="1">
      <alignment vertical="top" wrapText="1"/>
    </xf>
    <xf numFmtId="0" fontId="0" fillId="0" borderId="14" xfId="0" applyFont="1" applyBorder="1" applyAlignment="1" applyProtection="1">
      <alignment horizontal="right" vertical="top"/>
    </xf>
    <xf numFmtId="0" fontId="0" fillId="0" borderId="9" xfId="0" applyFont="1" applyBorder="1" applyAlignment="1" applyProtection="1">
      <alignment vertical="top" wrapText="1"/>
    </xf>
    <xf numFmtId="0" fontId="19" fillId="0" borderId="14" xfId="0" applyFont="1" applyBorder="1" applyAlignment="1" applyProtection="1">
      <alignment horizontal="right" vertical="top"/>
    </xf>
    <xf numFmtId="0" fontId="19" fillId="0" borderId="9" xfId="0" applyFont="1" applyBorder="1" applyAlignment="1" applyProtection="1">
      <alignment vertical="top" wrapText="1"/>
    </xf>
    <xf numFmtId="0" fontId="29" fillId="9" borderId="9" xfId="0" applyFont="1" applyFill="1" applyBorder="1" applyAlignment="1" applyProtection="1">
      <alignment vertical="top" wrapText="1"/>
    </xf>
    <xf numFmtId="0" fontId="14" fillId="0" borderId="16" xfId="0" applyFont="1" applyBorder="1" applyAlignment="1" applyProtection="1">
      <alignment horizontal="left" vertical="top"/>
      <protection locked="0"/>
    </xf>
    <xf numFmtId="0" fontId="15" fillId="0" borderId="16" xfId="0" applyFont="1" applyBorder="1" applyAlignment="1" applyProtection="1">
      <alignment horizontal="center" vertical="top"/>
      <protection locked="0"/>
    </xf>
    <xf numFmtId="0" fontId="15" fillId="0" borderId="16" xfId="0" applyFont="1" applyBorder="1" applyAlignment="1" applyProtection="1">
      <alignment horizontal="right" vertical="top"/>
      <protection locked="0"/>
    </xf>
    <xf numFmtId="0" fontId="15" fillId="0" borderId="16" xfId="0" applyFont="1" applyBorder="1" applyAlignment="1" applyProtection="1">
      <alignment vertical="top" wrapText="1"/>
      <protection locked="0"/>
    </xf>
    <xf numFmtId="0" fontId="0" fillId="0" borderId="0" xfId="0" applyFont="1" applyAlignment="1" applyProtection="1">
      <alignment vertical="top"/>
      <protection locked="0"/>
    </xf>
    <xf numFmtId="0" fontId="8" fillId="4" borderId="10" xfId="0" applyFont="1" applyFill="1" applyBorder="1" applyAlignment="1" applyProtection="1">
      <alignment horizontal="left" vertical="top" wrapText="1"/>
      <protection locked="0"/>
    </xf>
    <xf numFmtId="0" fontId="8" fillId="4" borderId="10" xfId="0" applyFont="1" applyFill="1" applyBorder="1" applyAlignment="1" applyProtection="1">
      <alignment horizontal="center" vertical="top" wrapText="1"/>
      <protection locked="0"/>
    </xf>
    <xf numFmtId="0" fontId="8" fillId="4" borderId="10" xfId="0" applyFont="1" applyFill="1" applyBorder="1" applyAlignment="1" applyProtection="1">
      <alignment horizontal="center" vertical="top"/>
      <protection locked="0"/>
    </xf>
    <xf numFmtId="0" fontId="8" fillId="4" borderId="11" xfId="0" applyFont="1" applyFill="1" applyBorder="1" applyAlignment="1" applyProtection="1">
      <alignment horizontal="center" vertical="top"/>
      <protection locked="0"/>
    </xf>
    <xf numFmtId="0" fontId="4" fillId="0" borderId="11" xfId="0" applyFont="1" applyBorder="1" applyAlignment="1" applyProtection="1">
      <alignment vertical="top"/>
      <protection locked="0"/>
    </xf>
    <xf numFmtId="0" fontId="8" fillId="5" borderId="6"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top" wrapText="1"/>
      <protection locked="0"/>
    </xf>
    <xf numFmtId="0" fontId="9" fillId="7" borderId="12" xfId="0" applyFont="1" applyFill="1" applyBorder="1" applyAlignment="1" applyProtection="1">
      <alignment horizontal="center" vertical="top" wrapText="1"/>
      <protection locked="0"/>
    </xf>
    <xf numFmtId="0" fontId="8" fillId="8" borderId="6" xfId="0" applyFont="1" applyFill="1" applyBorder="1" applyAlignment="1" applyProtection="1">
      <alignment horizontal="left" vertical="top" wrapText="1"/>
      <protection locked="0"/>
    </xf>
    <xf numFmtId="0" fontId="11" fillId="8" borderId="6" xfId="0" applyFont="1" applyFill="1" applyBorder="1" applyAlignment="1" applyProtection="1">
      <alignment horizontal="center" vertical="top" wrapText="1"/>
      <protection locked="0"/>
    </xf>
    <xf numFmtId="0" fontId="0" fillId="9" borderId="14" xfId="0" applyFont="1" applyFill="1" applyBorder="1" applyAlignment="1" applyProtection="1">
      <alignment horizontal="left" vertical="top"/>
      <protection locked="0"/>
    </xf>
    <xf numFmtId="0" fontId="9" fillId="10" borderId="6" xfId="0" applyFont="1" applyFill="1" applyBorder="1" applyAlignment="1" applyProtection="1">
      <alignment horizontal="center" vertical="top" wrapText="1"/>
      <protection locked="0"/>
    </xf>
    <xf numFmtId="0" fontId="12" fillId="11" borderId="6" xfId="0" applyFont="1" applyFill="1" applyBorder="1" applyAlignment="1" applyProtection="1">
      <alignment horizontal="center" vertical="top" wrapText="1"/>
      <protection locked="0"/>
    </xf>
    <xf numFmtId="0" fontId="13" fillId="12" borderId="15" xfId="0" applyFont="1" applyFill="1" applyBorder="1" applyAlignment="1" applyProtection="1">
      <alignment horizontal="center" vertical="top" wrapText="1"/>
      <protection locked="0"/>
    </xf>
    <xf numFmtId="0" fontId="4" fillId="13" borderId="6" xfId="0" applyFont="1" applyFill="1" applyBorder="1" applyAlignment="1" applyProtection="1">
      <alignment horizontal="center" vertical="top" wrapText="1"/>
      <protection locked="0"/>
    </xf>
    <xf numFmtId="0" fontId="4" fillId="2" borderId="6" xfId="0" applyFont="1" applyFill="1" applyBorder="1" applyAlignment="1" applyProtection="1">
      <alignment horizontal="left" vertical="top" wrapText="1"/>
      <protection locked="0"/>
    </xf>
    <xf numFmtId="0" fontId="4" fillId="0" borderId="6"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3" borderId="6" xfId="0" applyFont="1" applyFill="1" applyBorder="1" applyAlignment="1" applyProtection="1">
      <alignment vertical="top" wrapText="1"/>
      <protection locked="0"/>
    </xf>
    <xf numFmtId="0" fontId="4" fillId="2" borderId="14" xfId="0" applyFont="1" applyFill="1" applyBorder="1" applyAlignment="1" applyProtection="1">
      <alignment horizontal="left" vertical="top" wrapText="1"/>
      <protection locked="0"/>
    </xf>
    <xf numFmtId="0" fontId="4" fillId="0" borderId="0" xfId="0" applyFont="1" applyBorder="1" applyAlignment="1" applyProtection="1">
      <alignment horizontal="center" vertical="top" wrapText="1"/>
      <protection locked="0"/>
    </xf>
    <xf numFmtId="0" fontId="4" fillId="0" borderId="47" xfId="0" applyFont="1" applyBorder="1" applyAlignment="1" applyProtection="1">
      <alignment horizontal="center" vertical="top" wrapText="1"/>
      <protection locked="0"/>
    </xf>
    <xf numFmtId="0" fontId="4" fillId="0" borderId="46" xfId="0" applyFont="1" applyBorder="1" applyAlignment="1" applyProtection="1">
      <alignment horizontal="center" vertical="top" wrapText="1"/>
      <protection locked="0"/>
    </xf>
    <xf numFmtId="0" fontId="4" fillId="3" borderId="13" xfId="0" applyFont="1" applyFill="1" applyBorder="1" applyAlignment="1" applyProtection="1">
      <alignment vertical="top" wrapText="1"/>
      <protection locked="0"/>
    </xf>
    <xf numFmtId="0" fontId="0" fillId="0" borderId="0" xfId="0" applyFont="1" applyAlignment="1" applyProtection="1">
      <alignment horizontal="left" vertical="top"/>
      <protection locked="0"/>
    </xf>
  </cellXfs>
  <cellStyles count="4">
    <cellStyle name="Hyperlink" xfId="3" builtinId="8"/>
    <cellStyle name="Normal" xfId="0" builtinId="0"/>
    <cellStyle name="Normal 2 2" xfId="1"/>
    <cellStyle name="Normal 3" xfId="2"/>
  </cellStyles>
  <dxfs count="68">
    <dxf>
      <font>
        <color rgb="FF339966"/>
      </font>
      <fill>
        <patternFill patternType="none"/>
      </fill>
      <border>
        <left/>
        <right/>
        <top/>
        <bottom/>
      </border>
    </dxf>
    <dxf>
      <font>
        <color rgb="FF339966"/>
      </font>
      <fill>
        <patternFill patternType="none"/>
      </fill>
      <border>
        <left/>
        <right/>
        <top/>
        <bottom/>
      </border>
    </dxf>
    <dxf>
      <font>
        <color rgb="FF339966"/>
      </font>
      <fill>
        <patternFill patternType="none"/>
      </fill>
      <border>
        <left/>
        <right/>
        <top/>
        <bottom/>
      </border>
    </dxf>
    <dxf>
      <font>
        <color rgb="FF339966"/>
      </font>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9966"/>
      </font>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9966"/>
      </font>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9966"/>
      </font>
      <fill>
        <patternFill patternType="none"/>
      </fill>
      <border>
        <left/>
        <right/>
        <top/>
        <bottom/>
      </border>
    </dxf>
    <dxf>
      <font>
        <color rgb="FF339966"/>
      </font>
      <fill>
        <patternFill patternType="none"/>
      </fill>
      <border>
        <left/>
        <right/>
        <top/>
        <bottom/>
      </border>
    </dxf>
    <dxf>
      <font>
        <color rgb="FF339966"/>
      </font>
      <fill>
        <patternFill patternType="none"/>
      </fill>
      <border>
        <left/>
        <right/>
        <top/>
        <bottom/>
      </border>
    </dxf>
    <dxf>
      <font>
        <color rgb="FF339966"/>
      </font>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9966"/>
      </font>
      <fill>
        <patternFill patternType="none"/>
      </fill>
      <border>
        <left/>
        <right/>
        <top/>
        <bottom/>
      </border>
    </dxf>
    <dxf>
      <font>
        <color rgb="FF33CC33"/>
      </font>
      <fill>
        <patternFill patternType="solid">
          <fgColor rgb="FF33CC33"/>
          <bgColor rgb="FF33CC33"/>
        </patternFill>
      </fill>
      <border>
        <left/>
        <right/>
        <top/>
        <bottom/>
      </border>
    </dxf>
    <dxf>
      <font>
        <color rgb="FFFFFF00"/>
      </font>
      <fill>
        <patternFill patternType="solid">
          <fgColor rgb="FFFFFF00"/>
          <bgColor rgb="FFFFFF00"/>
        </patternFill>
      </fill>
      <border>
        <left/>
        <right/>
        <top/>
        <bottom/>
      </border>
    </dxf>
    <dxf>
      <font>
        <color rgb="FFFF0000"/>
      </font>
      <fill>
        <patternFill patternType="solid">
          <fgColor rgb="FFFF0000"/>
          <bgColor rgb="FFFF0000"/>
        </patternFill>
      </fill>
      <border>
        <left/>
        <right/>
        <top/>
        <bottom/>
      </border>
    </dxf>
    <dxf>
      <fill>
        <patternFill patternType="none"/>
      </fill>
      <border>
        <left/>
        <right/>
        <top/>
        <bottom/>
      </border>
    </dxf>
    <dxf>
      <font>
        <color rgb="FF339966"/>
      </font>
      <fill>
        <patternFill patternType="none"/>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4" sqref="C4"/>
    </sheetView>
  </sheetViews>
  <sheetFormatPr defaultColWidth="15.140625" defaultRowHeight="15" customHeight="1" x14ac:dyDescent="0.25"/>
  <cols>
    <col min="1" max="1" width="2.7109375" customWidth="1"/>
    <col min="2" max="2" width="7" customWidth="1"/>
    <col min="3" max="3" width="26.28515625" customWidth="1"/>
    <col min="4" max="4" width="1.7109375" customWidth="1"/>
    <col min="5" max="5" width="39.28515625" customWidth="1"/>
    <col min="6" max="6" width="11" customWidth="1"/>
    <col min="8" max="8" width="15.140625" customWidth="1"/>
    <col min="10" max="10" width="15.140625" customWidth="1"/>
    <col min="13" max="13" width="15.140625" customWidth="1"/>
  </cols>
  <sheetData>
    <row r="1" spans="1:6" ht="13.5" customHeight="1" x14ac:dyDescent="0.25">
      <c r="A1" s="17"/>
      <c r="B1" s="17"/>
      <c r="C1" s="17"/>
      <c r="D1" s="17"/>
      <c r="E1" s="17"/>
      <c r="F1" s="17"/>
    </row>
    <row r="2" spans="1:6" ht="13.5" customHeight="1" x14ac:dyDescent="0.25">
      <c r="A2" s="17"/>
      <c r="B2" s="1"/>
      <c r="C2" s="2"/>
      <c r="D2" s="2"/>
      <c r="E2" s="2"/>
      <c r="F2" s="3"/>
    </row>
    <row r="3" spans="1:6" ht="30" customHeight="1" x14ac:dyDescent="0.25">
      <c r="A3" s="17"/>
      <c r="B3" s="4"/>
      <c r="C3" s="5" t="s">
        <v>72</v>
      </c>
      <c r="D3" s="6"/>
      <c r="E3" s="6"/>
      <c r="F3" s="7"/>
    </row>
    <row r="4" spans="1:6" ht="27" customHeight="1" x14ac:dyDescent="0.25">
      <c r="A4" s="17"/>
      <c r="B4" s="4"/>
      <c r="C4" s="6"/>
      <c r="D4" s="6"/>
      <c r="E4" s="6"/>
      <c r="F4" s="7"/>
    </row>
    <row r="5" spans="1:6" ht="13.5" customHeight="1" x14ac:dyDescent="0.25">
      <c r="A5" s="17"/>
      <c r="B5" s="4"/>
      <c r="C5" s="8" t="s">
        <v>0</v>
      </c>
      <c r="D5" s="6"/>
      <c r="E5" s="6"/>
      <c r="F5" s="7"/>
    </row>
    <row r="6" spans="1:6" ht="13.5" customHeight="1" x14ac:dyDescent="0.25">
      <c r="A6" s="17"/>
      <c r="B6" s="4"/>
      <c r="C6" s="9" t="s">
        <v>1</v>
      </c>
      <c r="D6" s="6"/>
      <c r="E6" s="10"/>
      <c r="F6" s="7"/>
    </row>
    <row r="7" spans="1:6" ht="13.5" customHeight="1" x14ac:dyDescent="0.25">
      <c r="A7" s="17"/>
      <c r="B7" s="4"/>
      <c r="C7" s="9" t="s">
        <v>2</v>
      </c>
      <c r="D7" s="11"/>
      <c r="E7" s="20"/>
      <c r="F7" s="7"/>
    </row>
    <row r="8" spans="1:6" ht="13.5" customHeight="1" x14ac:dyDescent="0.25">
      <c r="A8" s="17"/>
      <c r="B8" s="4"/>
      <c r="C8" s="13"/>
      <c r="D8" s="11"/>
      <c r="E8" s="20"/>
      <c r="F8" s="7"/>
    </row>
    <row r="9" spans="1:6" ht="13.5" customHeight="1" x14ac:dyDescent="0.25">
      <c r="A9" s="17"/>
      <c r="B9" s="4"/>
      <c r="C9" s="8" t="s">
        <v>3</v>
      </c>
      <c r="D9" s="11"/>
      <c r="E9" s="11"/>
      <c r="F9" s="7"/>
    </row>
    <row r="10" spans="1:6" ht="13.5" customHeight="1" x14ac:dyDescent="0.25">
      <c r="A10" s="17"/>
      <c r="B10" s="4"/>
      <c r="C10" s="9" t="s">
        <v>4</v>
      </c>
      <c r="D10" s="11"/>
      <c r="E10" s="12"/>
      <c r="F10" s="7"/>
    </row>
    <row r="11" spans="1:6" ht="13.5" customHeight="1" x14ac:dyDescent="0.25">
      <c r="A11" s="17"/>
      <c r="B11" s="4"/>
      <c r="C11" s="9" t="s">
        <v>5</v>
      </c>
      <c r="D11" s="11"/>
      <c r="E11" s="21"/>
      <c r="F11" s="7"/>
    </row>
    <row r="12" spans="1:6" ht="13.5" customHeight="1" x14ac:dyDescent="0.25">
      <c r="A12" s="17"/>
      <c r="B12" s="4"/>
      <c r="C12" s="9" t="s">
        <v>6</v>
      </c>
      <c r="D12" s="11"/>
      <c r="E12" s="12"/>
      <c r="F12" s="7"/>
    </row>
    <row r="13" spans="1:6" ht="13.5" customHeight="1" x14ac:dyDescent="0.25">
      <c r="A13" s="17"/>
      <c r="B13" s="4"/>
      <c r="C13" s="9" t="s">
        <v>7</v>
      </c>
      <c r="D13" s="11"/>
      <c r="E13" s="18"/>
      <c r="F13" s="7"/>
    </row>
    <row r="14" spans="1:6" ht="13.5" customHeight="1" x14ac:dyDescent="0.25">
      <c r="A14" s="17"/>
      <c r="B14" s="4"/>
      <c r="C14" s="9"/>
      <c r="D14" s="11"/>
      <c r="E14" s="6"/>
      <c r="F14" s="7"/>
    </row>
    <row r="15" spans="1:6" ht="13.5" customHeight="1" x14ac:dyDescent="0.25">
      <c r="A15" s="17"/>
      <c r="B15" s="4"/>
      <c r="C15" s="8" t="s">
        <v>8</v>
      </c>
      <c r="D15" s="11"/>
      <c r="E15" s="11"/>
      <c r="F15" s="7"/>
    </row>
    <row r="16" spans="1:6" ht="13.5" customHeight="1" x14ac:dyDescent="0.25">
      <c r="A16" s="17"/>
      <c r="B16" s="4"/>
      <c r="C16" s="9" t="s">
        <v>9</v>
      </c>
      <c r="D16" s="11"/>
      <c r="E16" s="12"/>
      <c r="F16" s="7"/>
    </row>
    <row r="17" spans="1:6" ht="13.5" customHeight="1" x14ac:dyDescent="0.25">
      <c r="A17" s="17"/>
      <c r="B17" s="4"/>
      <c r="C17" s="9" t="s">
        <v>10</v>
      </c>
      <c r="D17" s="11"/>
      <c r="E17" s="12"/>
      <c r="F17" s="7"/>
    </row>
    <row r="18" spans="1:6" ht="13.5" customHeight="1" x14ac:dyDescent="0.25">
      <c r="A18" s="17"/>
      <c r="B18" s="4"/>
      <c r="C18" s="9" t="s">
        <v>11</v>
      </c>
      <c r="D18" s="11"/>
      <c r="E18" s="12"/>
      <c r="F18" s="7"/>
    </row>
    <row r="19" spans="1:6" ht="13.5" customHeight="1" x14ac:dyDescent="0.25">
      <c r="A19" s="17"/>
      <c r="B19" s="4"/>
      <c r="C19" s="9" t="s">
        <v>12</v>
      </c>
      <c r="D19" s="11"/>
      <c r="E19" s="18"/>
      <c r="F19" s="7"/>
    </row>
    <row r="20" spans="1:6" ht="13.5" customHeight="1" x14ac:dyDescent="0.25">
      <c r="A20" s="17"/>
      <c r="B20" s="14"/>
      <c r="C20" s="15"/>
      <c r="D20" s="15"/>
      <c r="E20" s="15"/>
      <c r="F20" s="16"/>
    </row>
    <row r="21" spans="1:6" ht="13.5" customHeight="1" x14ac:dyDescent="0.25">
      <c r="A21" s="17"/>
      <c r="B21" s="17"/>
      <c r="C21" s="17"/>
      <c r="D21" s="17"/>
      <c r="E21" s="17"/>
      <c r="F21" s="17"/>
    </row>
    <row r="22" spans="1:6" ht="13.5" customHeight="1" x14ac:dyDescent="0.25">
      <c r="A22" s="17"/>
      <c r="B22" s="17"/>
      <c r="C22" s="17"/>
      <c r="D22" s="17"/>
      <c r="E22" s="17"/>
      <c r="F22" s="17"/>
    </row>
    <row r="23" spans="1:6" ht="13.5" customHeight="1" x14ac:dyDescent="0.25">
      <c r="A23" s="17"/>
      <c r="B23" s="17"/>
      <c r="C23" s="17"/>
      <c r="D23" s="17"/>
      <c r="E23" s="17"/>
      <c r="F23" s="17"/>
    </row>
    <row r="24" spans="1:6" ht="13.5" customHeight="1" x14ac:dyDescent="0.25">
      <c r="A24" s="17"/>
      <c r="B24" s="17"/>
      <c r="C24" s="17"/>
      <c r="D24" s="17"/>
      <c r="E24" s="17"/>
      <c r="F24" s="17"/>
    </row>
    <row r="25" spans="1:6" ht="13.5" customHeight="1" x14ac:dyDescent="0.25">
      <c r="A25" s="17"/>
      <c r="B25" s="17"/>
      <c r="C25" s="17"/>
      <c r="D25" s="17"/>
      <c r="E25" s="17"/>
      <c r="F25" s="17"/>
    </row>
    <row r="26" spans="1:6" ht="13.5" customHeight="1" x14ac:dyDescent="0.25">
      <c r="A26" s="17"/>
      <c r="B26" s="17"/>
      <c r="C26" s="17"/>
      <c r="D26" s="17"/>
      <c r="E26" s="17"/>
      <c r="F26" s="17"/>
    </row>
  </sheetData>
  <phoneticPr fontId="17" type="noConversion"/>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zoomScale="115" zoomScaleNormal="115" workbookViewId="0">
      <selection activeCell="D17" sqref="D17"/>
    </sheetView>
  </sheetViews>
  <sheetFormatPr defaultColWidth="15.140625" defaultRowHeight="15" x14ac:dyDescent="0.25"/>
  <cols>
    <col min="1" max="1" width="11.7109375" style="121" customWidth="1"/>
    <col min="2" max="2" width="6.140625" style="96" customWidth="1"/>
    <col min="3" max="3" width="55" style="96" customWidth="1"/>
    <col min="4" max="8" width="17" style="96" customWidth="1"/>
    <col min="9" max="9" width="14.28515625" style="96" customWidth="1"/>
    <col min="10" max="10" width="16.28515625" style="96" customWidth="1"/>
    <col min="11" max="11" width="22.7109375" style="96" customWidth="1"/>
    <col min="12" max="16384" width="15.140625" style="96"/>
  </cols>
  <sheetData>
    <row r="1" spans="1:11" ht="28.5" x14ac:dyDescent="0.25">
      <c r="A1" s="92" t="s">
        <v>73</v>
      </c>
      <c r="B1" s="93"/>
      <c r="C1" s="94"/>
      <c r="D1" s="95"/>
      <c r="E1" s="95"/>
    </row>
    <row r="2" spans="1:11" ht="30" x14ac:dyDescent="0.25">
      <c r="A2" s="97" t="s">
        <v>13</v>
      </c>
      <c r="B2" s="98"/>
      <c r="C2" s="99" t="s">
        <v>14</v>
      </c>
      <c r="D2" s="100" t="s">
        <v>15</v>
      </c>
      <c r="E2" s="101"/>
      <c r="F2" s="101"/>
      <c r="G2" s="101"/>
      <c r="H2" s="101"/>
      <c r="I2" s="102" t="s">
        <v>16</v>
      </c>
      <c r="J2" s="103" t="s">
        <v>17</v>
      </c>
      <c r="K2" s="104" t="s">
        <v>18</v>
      </c>
    </row>
    <row r="3" spans="1:11" ht="15.75" x14ac:dyDescent="0.25">
      <c r="A3" s="105"/>
      <c r="B3" s="83">
        <v>1</v>
      </c>
      <c r="C3" s="84" t="s">
        <v>132</v>
      </c>
      <c r="D3" s="106"/>
      <c r="E3" s="106"/>
      <c r="F3" s="106"/>
      <c r="G3" s="106"/>
      <c r="H3" s="106"/>
      <c r="I3" s="106"/>
      <c r="J3" s="106"/>
      <c r="K3" s="106"/>
    </row>
    <row r="4" spans="1:11" ht="15.75" x14ac:dyDescent="0.25">
      <c r="A4" s="107"/>
      <c r="B4" s="85">
        <v>1.1000000000000001</v>
      </c>
      <c r="C4" s="86" t="s">
        <v>75</v>
      </c>
      <c r="D4" s="108" t="s">
        <v>19</v>
      </c>
      <c r="E4" s="108" t="s">
        <v>20</v>
      </c>
      <c r="F4" s="108" t="s">
        <v>21</v>
      </c>
      <c r="G4" s="108" t="s">
        <v>22</v>
      </c>
      <c r="H4" s="108" t="s">
        <v>23</v>
      </c>
      <c r="I4" s="109" t="s">
        <v>16</v>
      </c>
      <c r="J4" s="110" t="s">
        <v>13</v>
      </c>
      <c r="K4" s="111" t="s">
        <v>18</v>
      </c>
    </row>
    <row r="5" spans="1:11" x14ac:dyDescent="0.25">
      <c r="A5" s="112"/>
      <c r="B5" s="87" t="s">
        <v>24</v>
      </c>
      <c r="C5" s="88" t="s">
        <v>79</v>
      </c>
      <c r="D5" s="113"/>
      <c r="E5" s="113"/>
      <c r="F5" s="113"/>
      <c r="G5" s="113"/>
      <c r="H5" s="113"/>
      <c r="I5" s="113"/>
      <c r="J5" s="114"/>
      <c r="K5" s="115"/>
    </row>
    <row r="6" spans="1:11" x14ac:dyDescent="0.25">
      <c r="A6" s="112"/>
      <c r="B6" s="87" t="s">
        <v>25</v>
      </c>
      <c r="C6" s="88" t="s">
        <v>80</v>
      </c>
      <c r="D6" s="113"/>
      <c r="E6" s="113"/>
      <c r="F6" s="113"/>
      <c r="G6" s="113"/>
      <c r="H6" s="113"/>
      <c r="I6" s="113"/>
      <c r="J6" s="114"/>
      <c r="K6" s="115"/>
    </row>
    <row r="7" spans="1:11" x14ac:dyDescent="0.25">
      <c r="A7" s="112"/>
      <c r="B7" s="87" t="s">
        <v>76</v>
      </c>
      <c r="C7" s="88" t="s">
        <v>81</v>
      </c>
      <c r="D7" s="113"/>
      <c r="E7" s="113"/>
      <c r="F7" s="113"/>
      <c r="G7" s="113"/>
      <c r="H7" s="113"/>
      <c r="I7" s="113"/>
      <c r="J7" s="114"/>
      <c r="K7" s="115"/>
    </row>
    <row r="8" spans="1:11" x14ac:dyDescent="0.25">
      <c r="A8" s="112"/>
      <c r="B8" s="87" t="s">
        <v>77</v>
      </c>
      <c r="C8" s="88" t="s">
        <v>82</v>
      </c>
      <c r="D8" s="113"/>
      <c r="E8" s="113"/>
      <c r="F8" s="113"/>
      <c r="G8" s="113"/>
      <c r="H8" s="113"/>
      <c r="I8" s="113"/>
      <c r="J8" s="114"/>
      <c r="K8" s="115"/>
    </row>
    <row r="9" spans="1:11" x14ac:dyDescent="0.25">
      <c r="A9" s="112"/>
      <c r="B9" s="87" t="s">
        <v>78</v>
      </c>
      <c r="C9" s="88" t="s">
        <v>83</v>
      </c>
      <c r="D9" s="113"/>
      <c r="E9" s="113"/>
      <c r="F9" s="113"/>
      <c r="G9" s="113"/>
      <c r="H9" s="113"/>
      <c r="I9" s="113"/>
      <c r="J9" s="114"/>
      <c r="K9" s="115"/>
    </row>
    <row r="10" spans="1:11" ht="15.75" x14ac:dyDescent="0.25">
      <c r="A10" s="107"/>
      <c r="B10" s="85">
        <v>1.2</v>
      </c>
      <c r="C10" s="86" t="s">
        <v>84</v>
      </c>
      <c r="D10" s="108" t="s">
        <v>19</v>
      </c>
      <c r="E10" s="108" t="s">
        <v>20</v>
      </c>
      <c r="F10" s="108" t="s">
        <v>21</v>
      </c>
      <c r="G10" s="108" t="s">
        <v>22</v>
      </c>
      <c r="H10" s="108" t="s">
        <v>23</v>
      </c>
      <c r="I10" s="109" t="s">
        <v>16</v>
      </c>
      <c r="J10" s="110" t="s">
        <v>13</v>
      </c>
      <c r="K10" s="111" t="s">
        <v>18</v>
      </c>
    </row>
    <row r="11" spans="1:11" x14ac:dyDescent="0.25">
      <c r="A11" s="112"/>
      <c r="B11" s="89" t="s">
        <v>26</v>
      </c>
      <c r="C11" s="90" t="s">
        <v>85</v>
      </c>
      <c r="D11" s="113"/>
      <c r="E11" s="113"/>
      <c r="F11" s="113"/>
      <c r="G11" s="113"/>
      <c r="H11" s="113"/>
      <c r="I11" s="113"/>
      <c r="J11" s="114"/>
      <c r="K11" s="115"/>
    </row>
    <row r="12" spans="1:11" x14ac:dyDescent="0.25">
      <c r="A12" s="112"/>
      <c r="B12" s="89" t="s">
        <v>27</v>
      </c>
      <c r="C12" s="90" t="s">
        <v>88</v>
      </c>
      <c r="D12" s="113"/>
      <c r="E12" s="113"/>
      <c r="F12" s="113"/>
      <c r="G12" s="113"/>
      <c r="H12" s="113"/>
      <c r="I12" s="113"/>
      <c r="J12" s="114"/>
      <c r="K12" s="115"/>
    </row>
    <row r="13" spans="1:11" x14ac:dyDescent="0.25">
      <c r="A13" s="116"/>
      <c r="B13" s="89" t="s">
        <v>86</v>
      </c>
      <c r="C13" s="90" t="s">
        <v>89</v>
      </c>
      <c r="D13" s="113"/>
      <c r="E13" s="113"/>
      <c r="F13" s="113"/>
      <c r="G13" s="113"/>
      <c r="H13" s="113"/>
      <c r="I13" s="113"/>
      <c r="J13" s="117"/>
      <c r="K13" s="115"/>
    </row>
    <row r="14" spans="1:11" x14ac:dyDescent="0.25">
      <c r="A14" s="116"/>
      <c r="B14" s="89" t="s">
        <v>87</v>
      </c>
      <c r="C14" s="90" t="s">
        <v>90</v>
      </c>
      <c r="D14" s="113"/>
      <c r="E14" s="113"/>
      <c r="F14" s="113"/>
      <c r="G14" s="113"/>
      <c r="H14" s="113"/>
      <c r="I14" s="113"/>
      <c r="J14" s="117"/>
      <c r="K14" s="115"/>
    </row>
    <row r="15" spans="1:11" ht="15.75" x14ac:dyDescent="0.25">
      <c r="A15" s="107"/>
      <c r="B15" s="85">
        <v>1.3</v>
      </c>
      <c r="C15" s="91" t="s">
        <v>91</v>
      </c>
      <c r="D15" s="108" t="s">
        <v>19</v>
      </c>
      <c r="E15" s="108" t="s">
        <v>20</v>
      </c>
      <c r="F15" s="108" t="s">
        <v>21</v>
      </c>
      <c r="G15" s="108" t="s">
        <v>22</v>
      </c>
      <c r="H15" s="108" t="s">
        <v>23</v>
      </c>
      <c r="I15" s="109" t="s">
        <v>16</v>
      </c>
      <c r="J15" s="110" t="s">
        <v>13</v>
      </c>
      <c r="K15" s="111" t="s">
        <v>18</v>
      </c>
    </row>
    <row r="16" spans="1:11" x14ac:dyDescent="0.25">
      <c r="A16" s="112"/>
      <c r="B16" s="89" t="s">
        <v>62</v>
      </c>
      <c r="C16" s="90" t="s">
        <v>100</v>
      </c>
      <c r="D16" s="113"/>
      <c r="E16" s="113"/>
      <c r="F16" s="113"/>
      <c r="G16" s="113"/>
      <c r="H16" s="113"/>
      <c r="I16" s="118"/>
      <c r="J16" s="119"/>
      <c r="K16" s="120"/>
    </row>
    <row r="17" spans="1:11" x14ac:dyDescent="0.25">
      <c r="A17" s="116"/>
      <c r="B17" s="89" t="s">
        <v>63</v>
      </c>
      <c r="C17" s="90" t="s">
        <v>101</v>
      </c>
      <c r="D17" s="113"/>
      <c r="E17" s="113"/>
      <c r="F17" s="113"/>
      <c r="G17" s="113"/>
      <c r="H17" s="113"/>
      <c r="I17" s="118"/>
      <c r="J17" s="119"/>
      <c r="K17" s="120"/>
    </row>
    <row r="18" spans="1:11" x14ac:dyDescent="0.25">
      <c r="A18" s="112"/>
      <c r="B18" s="89" t="s">
        <v>92</v>
      </c>
      <c r="C18" s="90" t="s">
        <v>102</v>
      </c>
      <c r="D18" s="113"/>
      <c r="E18" s="113"/>
      <c r="F18" s="113"/>
      <c r="G18" s="113"/>
      <c r="H18" s="113"/>
      <c r="I18" s="118"/>
      <c r="J18" s="119"/>
      <c r="K18" s="120"/>
    </row>
    <row r="19" spans="1:11" x14ac:dyDescent="0.25">
      <c r="A19" s="116"/>
      <c r="B19" s="89" t="s">
        <v>93</v>
      </c>
      <c r="C19" s="90" t="s">
        <v>103</v>
      </c>
      <c r="D19" s="113"/>
      <c r="E19" s="113"/>
      <c r="F19" s="113"/>
      <c r="G19" s="113"/>
      <c r="H19" s="113"/>
      <c r="I19" s="118"/>
      <c r="J19" s="119"/>
      <c r="K19" s="120"/>
    </row>
    <row r="20" spans="1:11" x14ac:dyDescent="0.25">
      <c r="A20" s="112"/>
      <c r="B20" s="89" t="s">
        <v>94</v>
      </c>
      <c r="C20" s="90" t="s">
        <v>104</v>
      </c>
      <c r="D20" s="113"/>
      <c r="E20" s="113"/>
      <c r="F20" s="113"/>
      <c r="G20" s="113"/>
      <c r="H20" s="113"/>
      <c r="I20" s="118"/>
      <c r="J20" s="119"/>
      <c r="K20" s="120"/>
    </row>
    <row r="21" spans="1:11" x14ac:dyDescent="0.25">
      <c r="A21" s="116"/>
      <c r="B21" s="89" t="s">
        <v>95</v>
      </c>
      <c r="C21" s="90" t="s">
        <v>105</v>
      </c>
      <c r="D21" s="113"/>
      <c r="E21" s="113"/>
      <c r="F21" s="113"/>
      <c r="G21" s="113"/>
      <c r="H21" s="113"/>
      <c r="I21" s="118"/>
      <c r="J21" s="119"/>
      <c r="K21" s="120"/>
    </row>
    <row r="22" spans="1:11" x14ac:dyDescent="0.25">
      <c r="A22" s="112"/>
      <c r="B22" s="89" t="s">
        <v>96</v>
      </c>
      <c r="C22" s="90" t="s">
        <v>157</v>
      </c>
      <c r="D22" s="113"/>
      <c r="E22" s="113"/>
      <c r="F22" s="113"/>
      <c r="G22" s="113"/>
      <c r="H22" s="113"/>
      <c r="I22" s="118"/>
      <c r="J22" s="119"/>
      <c r="K22" s="120"/>
    </row>
    <row r="23" spans="1:11" x14ac:dyDescent="0.25">
      <c r="A23" s="116"/>
      <c r="B23" s="89" t="s">
        <v>97</v>
      </c>
      <c r="C23" s="90" t="s">
        <v>106</v>
      </c>
      <c r="D23" s="113"/>
      <c r="E23" s="113"/>
      <c r="F23" s="113"/>
      <c r="G23" s="113"/>
      <c r="H23" s="113"/>
      <c r="I23" s="118"/>
      <c r="J23" s="119"/>
      <c r="K23" s="120"/>
    </row>
    <row r="24" spans="1:11" x14ac:dyDescent="0.25">
      <c r="A24" s="112"/>
      <c r="B24" s="89" t="s">
        <v>98</v>
      </c>
      <c r="C24" s="90" t="s">
        <v>107</v>
      </c>
      <c r="D24" s="113"/>
      <c r="E24" s="113"/>
      <c r="F24" s="113"/>
      <c r="G24" s="113"/>
      <c r="H24" s="113"/>
      <c r="I24" s="118"/>
      <c r="J24" s="119"/>
      <c r="K24" s="120"/>
    </row>
    <row r="25" spans="1:11" x14ac:dyDescent="0.25">
      <c r="A25" s="116"/>
      <c r="B25" s="89" t="s">
        <v>99</v>
      </c>
      <c r="C25" s="90" t="s">
        <v>108</v>
      </c>
      <c r="D25" s="113"/>
      <c r="E25" s="113"/>
      <c r="F25" s="113"/>
      <c r="G25" s="113"/>
      <c r="H25" s="113"/>
      <c r="I25" s="118"/>
      <c r="J25" s="119"/>
      <c r="K25" s="120"/>
    </row>
    <row r="26" spans="1:11" ht="15.75" x14ac:dyDescent="0.25">
      <c r="A26" s="107"/>
      <c r="B26" s="85">
        <v>1.4</v>
      </c>
      <c r="C26" s="86" t="s">
        <v>109</v>
      </c>
      <c r="D26" s="108" t="s">
        <v>19</v>
      </c>
      <c r="E26" s="108" t="s">
        <v>20</v>
      </c>
      <c r="F26" s="108" t="s">
        <v>21</v>
      </c>
      <c r="G26" s="108" t="s">
        <v>22</v>
      </c>
      <c r="H26" s="108" t="s">
        <v>23</v>
      </c>
      <c r="I26" s="109" t="s">
        <v>16</v>
      </c>
      <c r="J26" s="110" t="s">
        <v>13</v>
      </c>
      <c r="K26" s="111" t="s">
        <v>18</v>
      </c>
    </row>
    <row r="27" spans="1:11" x14ac:dyDescent="0.25">
      <c r="A27" s="112"/>
      <c r="B27" s="89" t="s">
        <v>64</v>
      </c>
      <c r="C27" s="90" t="s">
        <v>110</v>
      </c>
      <c r="D27" s="113"/>
      <c r="E27" s="113"/>
      <c r="F27" s="113"/>
      <c r="G27" s="113"/>
      <c r="H27" s="113"/>
      <c r="I27" s="118"/>
      <c r="J27" s="119"/>
      <c r="K27" s="120"/>
    </row>
    <row r="28" spans="1:11" x14ac:dyDescent="0.25">
      <c r="A28" s="116"/>
      <c r="B28" s="89" t="s">
        <v>65</v>
      </c>
      <c r="C28" s="90" t="s">
        <v>111</v>
      </c>
      <c r="D28" s="113"/>
      <c r="E28" s="113"/>
      <c r="F28" s="113"/>
      <c r="G28" s="113"/>
      <c r="H28" s="113"/>
      <c r="I28" s="118"/>
      <c r="J28" s="119"/>
      <c r="K28" s="120"/>
    </row>
    <row r="29" spans="1:11" x14ac:dyDescent="0.25">
      <c r="A29" s="116"/>
      <c r="B29" s="89" t="s">
        <v>66</v>
      </c>
      <c r="C29" s="90" t="s">
        <v>112</v>
      </c>
      <c r="D29" s="113"/>
      <c r="E29" s="113"/>
      <c r="F29" s="113"/>
      <c r="G29" s="113"/>
      <c r="H29" s="113"/>
      <c r="I29" s="118"/>
      <c r="J29" s="119"/>
      <c r="K29" s="120"/>
    </row>
    <row r="30" spans="1:11" x14ac:dyDescent="0.25">
      <c r="A30" s="116"/>
      <c r="B30" s="89" t="s">
        <v>113</v>
      </c>
      <c r="C30" s="90" t="s">
        <v>115</v>
      </c>
      <c r="D30" s="113"/>
      <c r="E30" s="113"/>
      <c r="F30" s="113"/>
      <c r="G30" s="113"/>
      <c r="H30" s="113"/>
      <c r="I30" s="118"/>
      <c r="J30" s="117"/>
      <c r="K30" s="120"/>
    </row>
    <row r="31" spans="1:11" x14ac:dyDescent="0.25">
      <c r="A31" s="116"/>
      <c r="B31" s="89" t="s">
        <v>114</v>
      </c>
      <c r="C31" s="90" t="s">
        <v>116</v>
      </c>
      <c r="D31" s="113"/>
      <c r="E31" s="113"/>
      <c r="F31" s="113"/>
      <c r="G31" s="113"/>
      <c r="H31" s="113"/>
      <c r="I31" s="118"/>
      <c r="J31" s="117"/>
      <c r="K31" s="120"/>
    </row>
    <row r="32" spans="1:11" ht="15.75" x14ac:dyDescent="0.25">
      <c r="A32" s="107"/>
      <c r="B32" s="85">
        <v>1.5</v>
      </c>
      <c r="C32" s="86" t="s">
        <v>117</v>
      </c>
      <c r="D32" s="108" t="s">
        <v>19</v>
      </c>
      <c r="E32" s="108" t="s">
        <v>20</v>
      </c>
      <c r="F32" s="108" t="s">
        <v>21</v>
      </c>
      <c r="G32" s="108" t="s">
        <v>22</v>
      </c>
      <c r="H32" s="108" t="s">
        <v>23</v>
      </c>
      <c r="I32" s="109" t="s">
        <v>16</v>
      </c>
      <c r="J32" s="110" t="s">
        <v>13</v>
      </c>
      <c r="K32" s="111" t="s">
        <v>18</v>
      </c>
    </row>
    <row r="33" spans="1:11" x14ac:dyDescent="0.25">
      <c r="A33" s="116"/>
      <c r="B33" s="89" t="s">
        <v>67</v>
      </c>
      <c r="C33" s="90" t="s">
        <v>122</v>
      </c>
      <c r="D33" s="113"/>
      <c r="E33" s="113"/>
      <c r="F33" s="113"/>
      <c r="G33" s="113"/>
      <c r="H33" s="113"/>
      <c r="I33" s="118"/>
      <c r="J33" s="119"/>
      <c r="K33" s="120"/>
    </row>
    <row r="34" spans="1:11" x14ac:dyDescent="0.25">
      <c r="A34" s="116"/>
      <c r="B34" s="89" t="s">
        <v>68</v>
      </c>
      <c r="C34" s="90" t="s">
        <v>123</v>
      </c>
      <c r="D34" s="113"/>
      <c r="E34" s="113"/>
      <c r="F34" s="113"/>
      <c r="G34" s="113"/>
      <c r="H34" s="113"/>
      <c r="I34" s="118"/>
      <c r="J34" s="119"/>
      <c r="K34" s="120"/>
    </row>
    <row r="35" spans="1:11" x14ac:dyDescent="0.25">
      <c r="A35" s="116"/>
      <c r="B35" s="89" t="s">
        <v>118</v>
      </c>
      <c r="C35" s="90" t="s">
        <v>124</v>
      </c>
      <c r="D35" s="113"/>
      <c r="E35" s="113"/>
      <c r="F35" s="113"/>
      <c r="G35" s="113"/>
      <c r="H35" s="113"/>
      <c r="I35" s="118"/>
      <c r="J35" s="119"/>
      <c r="K35" s="120"/>
    </row>
    <row r="36" spans="1:11" x14ac:dyDescent="0.25">
      <c r="A36" s="116"/>
      <c r="B36" s="89" t="s">
        <v>119</v>
      </c>
      <c r="C36" s="90" t="s">
        <v>125</v>
      </c>
      <c r="D36" s="113"/>
      <c r="E36" s="113"/>
      <c r="F36" s="113"/>
      <c r="G36" s="113"/>
      <c r="H36" s="113"/>
      <c r="I36" s="118"/>
      <c r="J36" s="119"/>
      <c r="K36" s="120"/>
    </row>
    <row r="37" spans="1:11" x14ac:dyDescent="0.25">
      <c r="A37" s="116"/>
      <c r="B37" s="89" t="s">
        <v>120</v>
      </c>
      <c r="C37" s="90" t="s">
        <v>126</v>
      </c>
      <c r="D37" s="113"/>
      <c r="E37" s="113"/>
      <c r="F37" s="113"/>
      <c r="G37" s="113"/>
      <c r="H37" s="113"/>
      <c r="I37" s="118"/>
      <c r="J37" s="119"/>
      <c r="K37" s="120"/>
    </row>
    <row r="38" spans="1:11" x14ac:dyDescent="0.25">
      <c r="A38" s="116"/>
      <c r="B38" s="89" t="s">
        <v>121</v>
      </c>
      <c r="C38" s="90" t="s">
        <v>127</v>
      </c>
      <c r="D38" s="113"/>
      <c r="E38" s="113"/>
      <c r="F38" s="113"/>
      <c r="G38" s="113"/>
      <c r="H38" s="113"/>
      <c r="I38" s="118"/>
      <c r="J38" s="119"/>
      <c r="K38" s="120"/>
    </row>
    <row r="39" spans="1:11" ht="15.75" x14ac:dyDescent="0.25">
      <c r="A39" s="107"/>
      <c r="B39" s="85">
        <v>1.6</v>
      </c>
      <c r="C39" s="86" t="s">
        <v>128</v>
      </c>
      <c r="D39" s="108" t="s">
        <v>19</v>
      </c>
      <c r="E39" s="108" t="s">
        <v>20</v>
      </c>
      <c r="F39" s="108" t="s">
        <v>21</v>
      </c>
      <c r="G39" s="108" t="s">
        <v>22</v>
      </c>
      <c r="H39" s="108" t="s">
        <v>23</v>
      </c>
      <c r="I39" s="109" t="s">
        <v>16</v>
      </c>
      <c r="J39" s="110" t="s">
        <v>13</v>
      </c>
      <c r="K39" s="111" t="s">
        <v>18</v>
      </c>
    </row>
    <row r="40" spans="1:11" x14ac:dyDescent="0.25">
      <c r="A40" s="116"/>
      <c r="B40" s="89" t="s">
        <v>69</v>
      </c>
      <c r="C40" s="90" t="s">
        <v>129</v>
      </c>
      <c r="D40" s="113"/>
      <c r="E40" s="113"/>
      <c r="F40" s="113"/>
      <c r="G40" s="113"/>
      <c r="H40" s="113"/>
      <c r="I40" s="118"/>
      <c r="J40" s="119"/>
      <c r="K40" s="120"/>
    </row>
    <row r="41" spans="1:11" x14ac:dyDescent="0.25">
      <c r="A41" s="116"/>
      <c r="B41" s="89" t="s">
        <v>70</v>
      </c>
      <c r="C41" s="90" t="s">
        <v>130</v>
      </c>
      <c r="D41" s="113"/>
      <c r="E41" s="113"/>
      <c r="F41" s="113"/>
      <c r="G41" s="113"/>
      <c r="H41" s="113"/>
      <c r="I41" s="118"/>
      <c r="J41" s="119"/>
      <c r="K41" s="120"/>
    </row>
    <row r="42" spans="1:11" x14ac:dyDescent="0.25">
      <c r="A42" s="116"/>
      <c r="B42" s="89" t="s">
        <v>71</v>
      </c>
      <c r="C42" s="90" t="s">
        <v>131</v>
      </c>
      <c r="D42" s="113"/>
      <c r="E42" s="113"/>
      <c r="F42" s="113"/>
      <c r="G42" s="113"/>
      <c r="H42" s="113"/>
      <c r="I42" s="118"/>
      <c r="J42" s="119"/>
      <c r="K42" s="120"/>
    </row>
  </sheetData>
  <sheetProtection password="CBEB" sheet="1" objects="1" scenarios="1"/>
  <mergeCells count="1">
    <mergeCell ref="D2:H2"/>
  </mergeCells>
  <phoneticPr fontId="17" type="noConversion"/>
  <conditionalFormatting sqref="D10:H10 D33:H34 D40:H42">
    <cfRule type="expression" dxfId="67" priority="515" stopIfTrue="1">
      <formula>"$A$3 == ""s"""</formula>
    </cfRule>
  </conditionalFormatting>
  <conditionalFormatting sqref="A16:A17">
    <cfRule type="cellIs" dxfId="66" priority="444" operator="equal">
      <formula>""""""</formula>
    </cfRule>
  </conditionalFormatting>
  <conditionalFormatting sqref="A16:A17">
    <cfRule type="cellIs" dxfId="65" priority="445" operator="equal">
      <formula>"""m"""</formula>
    </cfRule>
  </conditionalFormatting>
  <conditionalFormatting sqref="A16:A17">
    <cfRule type="cellIs" dxfId="64" priority="446" operator="equal">
      <formula>"""i"""</formula>
    </cfRule>
  </conditionalFormatting>
  <conditionalFormatting sqref="A16:A17">
    <cfRule type="cellIs" dxfId="63" priority="447" operator="equal">
      <formula>"""s"""</formula>
    </cfRule>
  </conditionalFormatting>
  <conditionalFormatting sqref="D4:H4">
    <cfRule type="expression" dxfId="62" priority="443" stopIfTrue="1">
      <formula>"$A$3 == ""s"""</formula>
    </cfRule>
  </conditionalFormatting>
  <conditionalFormatting sqref="A5:A6">
    <cfRule type="cellIs" dxfId="61" priority="430" operator="equal">
      <formula>""""""</formula>
    </cfRule>
  </conditionalFormatting>
  <conditionalFormatting sqref="A5:A6">
    <cfRule type="cellIs" dxfId="60" priority="431" operator="equal">
      <formula>"""m"""</formula>
    </cfRule>
  </conditionalFormatting>
  <conditionalFormatting sqref="A5:A6">
    <cfRule type="cellIs" dxfId="59" priority="432" operator="equal">
      <formula>"""i"""</formula>
    </cfRule>
  </conditionalFormatting>
  <conditionalFormatting sqref="A5:A6">
    <cfRule type="cellIs" dxfId="58" priority="433" operator="equal">
      <formula>"""s"""</formula>
    </cfRule>
  </conditionalFormatting>
  <conditionalFormatting sqref="A11">
    <cfRule type="cellIs" dxfId="57" priority="418" operator="equal">
      <formula>""""""</formula>
    </cfRule>
  </conditionalFormatting>
  <conditionalFormatting sqref="A11">
    <cfRule type="cellIs" dxfId="56" priority="419" operator="equal">
      <formula>"""m"""</formula>
    </cfRule>
  </conditionalFormatting>
  <conditionalFormatting sqref="A11">
    <cfRule type="cellIs" dxfId="55" priority="420" operator="equal">
      <formula>"""i"""</formula>
    </cfRule>
  </conditionalFormatting>
  <conditionalFormatting sqref="A11">
    <cfRule type="cellIs" dxfId="54" priority="421" operator="equal">
      <formula>"""s"""</formula>
    </cfRule>
  </conditionalFormatting>
  <conditionalFormatting sqref="A12:A14">
    <cfRule type="cellIs" dxfId="53" priority="422" operator="equal">
      <formula>""""""</formula>
    </cfRule>
  </conditionalFormatting>
  <conditionalFormatting sqref="A12:A14">
    <cfRule type="cellIs" dxfId="52" priority="423" operator="equal">
      <formula>"""m"""</formula>
    </cfRule>
  </conditionalFormatting>
  <conditionalFormatting sqref="A12:A14">
    <cfRule type="cellIs" dxfId="51" priority="424" operator="equal">
      <formula>"""i"""</formula>
    </cfRule>
  </conditionalFormatting>
  <conditionalFormatting sqref="A12:A14">
    <cfRule type="cellIs" dxfId="50" priority="425" operator="equal">
      <formula>"""s"""</formula>
    </cfRule>
  </conditionalFormatting>
  <conditionalFormatting sqref="A27:A31">
    <cfRule type="cellIs" dxfId="49" priority="410" operator="equal">
      <formula>""""""</formula>
    </cfRule>
  </conditionalFormatting>
  <conditionalFormatting sqref="A27:A31">
    <cfRule type="cellIs" dxfId="48" priority="411" operator="equal">
      <formula>"""m"""</formula>
    </cfRule>
  </conditionalFormatting>
  <conditionalFormatting sqref="A27:A31">
    <cfRule type="cellIs" dxfId="47" priority="412" operator="equal">
      <formula>"""i"""</formula>
    </cfRule>
  </conditionalFormatting>
  <conditionalFormatting sqref="A27:A31">
    <cfRule type="cellIs" dxfId="46" priority="413" operator="equal">
      <formula>"""s"""</formula>
    </cfRule>
  </conditionalFormatting>
  <conditionalFormatting sqref="A33:A34 A40:A42">
    <cfRule type="cellIs" dxfId="45" priority="402" operator="equal">
      <formula>""""""</formula>
    </cfRule>
  </conditionalFormatting>
  <conditionalFormatting sqref="A33:A34 A40:A42">
    <cfRule type="cellIs" dxfId="44" priority="403" operator="equal">
      <formula>"""m"""</formula>
    </cfRule>
  </conditionalFormatting>
  <conditionalFormatting sqref="A33:A34 A40:A42">
    <cfRule type="cellIs" dxfId="43" priority="404" operator="equal">
      <formula>"""i"""</formula>
    </cfRule>
  </conditionalFormatting>
  <conditionalFormatting sqref="A33:A34 A40:A42">
    <cfRule type="cellIs" dxfId="42" priority="405" operator="equal">
      <formula>"""s"""</formula>
    </cfRule>
  </conditionalFormatting>
  <conditionalFormatting sqref="D15:H15">
    <cfRule type="expression" dxfId="41" priority="70" stopIfTrue="1">
      <formula>"$A$3 == ""s"""</formula>
    </cfRule>
  </conditionalFormatting>
  <conditionalFormatting sqref="D26:H26">
    <cfRule type="expression" dxfId="40" priority="69" stopIfTrue="1">
      <formula>"$A$3 == ""s"""</formula>
    </cfRule>
  </conditionalFormatting>
  <conditionalFormatting sqref="D32:H32">
    <cfRule type="expression" dxfId="39" priority="68" stopIfTrue="1">
      <formula>"$A$3 == ""s"""</formula>
    </cfRule>
  </conditionalFormatting>
  <conditionalFormatting sqref="D39:H39">
    <cfRule type="expression" dxfId="38" priority="67" stopIfTrue="1">
      <formula>"$A$3 == ""s"""</formula>
    </cfRule>
  </conditionalFormatting>
  <conditionalFormatting sqref="A7:A8">
    <cfRule type="cellIs" dxfId="37" priority="31" operator="equal">
      <formula>""""""</formula>
    </cfRule>
  </conditionalFormatting>
  <conditionalFormatting sqref="A7:A8">
    <cfRule type="cellIs" dxfId="36" priority="32" operator="equal">
      <formula>"""m"""</formula>
    </cfRule>
  </conditionalFormatting>
  <conditionalFormatting sqref="A7:A8">
    <cfRule type="cellIs" dxfId="35" priority="33" operator="equal">
      <formula>"""i"""</formula>
    </cfRule>
  </conditionalFormatting>
  <conditionalFormatting sqref="A7:A8">
    <cfRule type="cellIs" dxfId="34" priority="34" operator="equal">
      <formula>"""s"""</formula>
    </cfRule>
  </conditionalFormatting>
  <conditionalFormatting sqref="A9">
    <cfRule type="cellIs" dxfId="33" priority="27" operator="equal">
      <formula>""""""</formula>
    </cfRule>
  </conditionalFormatting>
  <conditionalFormatting sqref="A9">
    <cfRule type="cellIs" dxfId="32" priority="28" operator="equal">
      <formula>"""m"""</formula>
    </cfRule>
  </conditionalFormatting>
  <conditionalFormatting sqref="A9">
    <cfRule type="cellIs" dxfId="31" priority="29" operator="equal">
      <formula>"""i"""</formula>
    </cfRule>
  </conditionalFormatting>
  <conditionalFormatting sqref="A9">
    <cfRule type="cellIs" dxfId="30" priority="30" operator="equal">
      <formula>"""s"""</formula>
    </cfRule>
  </conditionalFormatting>
  <conditionalFormatting sqref="A18:A19">
    <cfRule type="cellIs" dxfId="29" priority="23" operator="equal">
      <formula>""""""</formula>
    </cfRule>
  </conditionalFormatting>
  <conditionalFormatting sqref="A18:A19">
    <cfRule type="cellIs" dxfId="28" priority="24" operator="equal">
      <formula>"""m"""</formula>
    </cfRule>
  </conditionalFormatting>
  <conditionalFormatting sqref="A18:A19">
    <cfRule type="cellIs" dxfId="27" priority="25" operator="equal">
      <formula>"""i"""</formula>
    </cfRule>
  </conditionalFormatting>
  <conditionalFormatting sqref="A18:A19">
    <cfRule type="cellIs" dxfId="26" priority="26" operator="equal">
      <formula>"""s"""</formula>
    </cfRule>
  </conditionalFormatting>
  <conditionalFormatting sqref="A20:A21">
    <cfRule type="cellIs" dxfId="25" priority="19" operator="equal">
      <formula>""""""</formula>
    </cfRule>
  </conditionalFormatting>
  <conditionalFormatting sqref="A20:A21">
    <cfRule type="cellIs" dxfId="24" priority="20" operator="equal">
      <formula>"""m"""</formula>
    </cfRule>
  </conditionalFormatting>
  <conditionalFormatting sqref="A20:A21">
    <cfRule type="cellIs" dxfId="23" priority="21" operator="equal">
      <formula>"""i"""</formula>
    </cfRule>
  </conditionalFormatting>
  <conditionalFormatting sqref="A20:A21">
    <cfRule type="cellIs" dxfId="22" priority="22" operator="equal">
      <formula>"""s"""</formula>
    </cfRule>
  </conditionalFormatting>
  <conditionalFormatting sqref="A22:A23">
    <cfRule type="cellIs" dxfId="21" priority="15" operator="equal">
      <formula>""""""</formula>
    </cfRule>
  </conditionalFormatting>
  <conditionalFormatting sqref="A22:A23">
    <cfRule type="cellIs" dxfId="20" priority="16" operator="equal">
      <formula>"""m"""</formula>
    </cfRule>
  </conditionalFormatting>
  <conditionalFormatting sqref="A22:A23">
    <cfRule type="cellIs" dxfId="19" priority="17" operator="equal">
      <formula>"""i"""</formula>
    </cfRule>
  </conditionalFormatting>
  <conditionalFormatting sqref="A22:A23">
    <cfRule type="cellIs" dxfId="18" priority="18" operator="equal">
      <formula>"""s"""</formula>
    </cfRule>
  </conditionalFormatting>
  <conditionalFormatting sqref="A24:A25">
    <cfRule type="cellIs" dxfId="17" priority="11" operator="equal">
      <formula>""""""</formula>
    </cfRule>
  </conditionalFormatting>
  <conditionalFormatting sqref="A24:A25">
    <cfRule type="cellIs" dxfId="16" priority="12" operator="equal">
      <formula>"""m"""</formula>
    </cfRule>
  </conditionalFormatting>
  <conditionalFormatting sqref="A24:A25">
    <cfRule type="cellIs" dxfId="15" priority="13" operator="equal">
      <formula>"""i"""</formula>
    </cfRule>
  </conditionalFormatting>
  <conditionalFormatting sqref="A24:A25">
    <cfRule type="cellIs" dxfId="14" priority="14" operator="equal">
      <formula>"""s"""</formula>
    </cfRule>
  </conditionalFormatting>
  <conditionalFormatting sqref="D35:H36">
    <cfRule type="expression" dxfId="13" priority="10" stopIfTrue="1">
      <formula>"$A$3 == ""s"""</formula>
    </cfRule>
  </conditionalFormatting>
  <conditionalFormatting sqref="A35:A36">
    <cfRule type="cellIs" dxfId="12" priority="6" operator="equal">
      <formula>""""""</formula>
    </cfRule>
  </conditionalFormatting>
  <conditionalFormatting sqref="A35:A36">
    <cfRule type="cellIs" dxfId="11" priority="7" operator="equal">
      <formula>"""m"""</formula>
    </cfRule>
  </conditionalFormatting>
  <conditionalFormatting sqref="A35:A36">
    <cfRule type="cellIs" dxfId="10" priority="8" operator="equal">
      <formula>"""i"""</formula>
    </cfRule>
  </conditionalFormatting>
  <conditionalFormatting sqref="A35:A36">
    <cfRule type="cellIs" dxfId="9" priority="9" operator="equal">
      <formula>"""s"""</formula>
    </cfRule>
  </conditionalFormatting>
  <conditionalFormatting sqref="D37:H38">
    <cfRule type="expression" dxfId="8" priority="5" stopIfTrue="1">
      <formula>"$A$3 == ""s"""</formula>
    </cfRule>
  </conditionalFormatting>
  <conditionalFormatting sqref="A37:A38">
    <cfRule type="cellIs" dxfId="7" priority="1" operator="equal">
      <formula>""""""</formula>
    </cfRule>
  </conditionalFormatting>
  <conditionalFormatting sqref="A37:A38">
    <cfRule type="cellIs" dxfId="6" priority="2" operator="equal">
      <formula>"""m"""</formula>
    </cfRule>
  </conditionalFormatting>
  <conditionalFormatting sqref="A37:A38">
    <cfRule type="cellIs" dxfId="5" priority="3" operator="equal">
      <formula>"""i"""</formula>
    </cfRule>
  </conditionalFormatting>
  <conditionalFormatting sqref="A37:A38">
    <cfRule type="cellIs" dxfId="4" priority="4" operator="equal">
      <formula>"""s"""</formula>
    </cfRule>
  </conditionalFormatting>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85" zoomScaleNormal="85" workbookViewId="0">
      <pane ySplit="2" topLeftCell="A3" activePane="bottomLeft" state="frozen"/>
      <selection pane="bottomLeft" activeCell="D5" sqref="D5"/>
    </sheetView>
  </sheetViews>
  <sheetFormatPr defaultColWidth="15.140625" defaultRowHeight="15" x14ac:dyDescent="0.25"/>
  <cols>
    <col min="1" max="1" width="22.7109375" style="60" customWidth="1"/>
    <col min="2" max="2" width="9.28515625" style="60" customWidth="1"/>
    <col min="3" max="3" width="40.85546875" style="60" bestFit="1" customWidth="1"/>
    <col min="4" max="4" width="31.5703125" style="60" customWidth="1"/>
    <col min="5" max="5" width="43.28515625" style="60" customWidth="1"/>
    <col min="6" max="6" width="35.28515625" style="60" customWidth="1"/>
    <col min="7" max="16384" width="15.140625" style="60"/>
  </cols>
  <sheetData>
    <row r="1" spans="1:6" ht="28.5" x14ac:dyDescent="0.25">
      <c r="A1" s="77" t="s">
        <v>74</v>
      </c>
      <c r="B1" s="77"/>
      <c r="C1" s="77"/>
      <c r="D1" s="77"/>
      <c r="E1" s="77"/>
      <c r="F1" s="77"/>
    </row>
    <row r="2" spans="1:6" s="59" customFormat="1" ht="30" x14ac:dyDescent="0.25">
      <c r="A2" s="54" t="s">
        <v>145</v>
      </c>
      <c r="B2" s="55" t="s">
        <v>28</v>
      </c>
      <c r="C2" s="56" t="s">
        <v>29</v>
      </c>
      <c r="D2" s="57" t="s">
        <v>30</v>
      </c>
      <c r="E2" s="58" t="s">
        <v>31</v>
      </c>
      <c r="F2" s="58" t="s">
        <v>32</v>
      </c>
    </row>
    <row r="3" spans="1:6" ht="15.75" x14ac:dyDescent="0.25">
      <c r="A3" s="71"/>
      <c r="B3" s="72">
        <f>'IC-CBFP Evaluation Matrix'!B3</f>
        <v>1</v>
      </c>
      <c r="C3" s="73" t="str">
        <f>'IC-CBFP Evaluation Matrix'!C3</f>
        <v>Bitcoin Framework</v>
      </c>
      <c r="D3" s="74"/>
      <c r="E3" s="74"/>
      <c r="F3" s="74"/>
    </row>
    <row r="4" spans="1:6" ht="30" x14ac:dyDescent="0.25">
      <c r="A4" s="63"/>
      <c r="B4" s="64">
        <f>'IC-CBFP Evaluation Matrix'!B4</f>
        <v>1.1000000000000001</v>
      </c>
      <c r="C4" s="63" t="str">
        <f>'IC-CBFP Evaluation Matrix'!C4</f>
        <v>History of Money and and Ledger-based Economics</v>
      </c>
      <c r="D4" s="63"/>
      <c r="E4" s="63"/>
      <c r="F4" s="63"/>
    </row>
    <row r="5" spans="1:6" ht="45" x14ac:dyDescent="0.25">
      <c r="A5" s="65"/>
      <c r="B5" s="66" t="str">
        <f>'IC-CBFP Evaluation Matrix'!B5</f>
        <v>1.1.1</v>
      </c>
      <c r="C5" s="65" t="str">
        <f>'IC-CBFP Evaluation Matrix'!C5</f>
        <v>Centralized Ledgers</v>
      </c>
      <c r="D5" s="70"/>
      <c r="E5" s="69" t="s">
        <v>146</v>
      </c>
      <c r="F5" s="61" t="s">
        <v>133</v>
      </c>
    </row>
    <row r="6" spans="1:6" ht="30" x14ac:dyDescent="0.25">
      <c r="A6" s="65"/>
      <c r="B6" s="66" t="str">
        <f>'IC-CBFP Evaluation Matrix'!B6</f>
        <v>1.1.2</v>
      </c>
      <c r="C6" s="65" t="str">
        <f>'IC-CBFP Evaluation Matrix'!C6</f>
        <v>Functions of Currency</v>
      </c>
      <c r="D6" s="69"/>
      <c r="E6" s="69" t="s">
        <v>134</v>
      </c>
      <c r="F6" s="61"/>
    </row>
    <row r="7" spans="1:6" ht="45" x14ac:dyDescent="0.25">
      <c r="A7" s="65"/>
      <c r="B7" s="66" t="str">
        <f>'IC-CBFP Evaluation Matrix'!B7</f>
        <v>1.1.3</v>
      </c>
      <c r="C7" s="65" t="str">
        <f>'IC-CBFP Evaluation Matrix'!C7</f>
        <v>Distributed Consensus</v>
      </c>
      <c r="D7" s="75"/>
      <c r="E7" s="69" t="s">
        <v>147</v>
      </c>
      <c r="F7" s="76"/>
    </row>
    <row r="8" spans="1:6" ht="30" x14ac:dyDescent="0.25">
      <c r="A8" s="65"/>
      <c r="B8" s="66" t="str">
        <f>'IC-CBFP Evaluation Matrix'!B8</f>
        <v>1.1.4</v>
      </c>
      <c r="C8" s="65" t="str">
        <f>'IC-CBFP Evaluation Matrix'!C8</f>
        <v>History of Bitcoin</v>
      </c>
      <c r="D8" s="75"/>
      <c r="E8" s="69" t="s">
        <v>135</v>
      </c>
      <c r="F8" s="76"/>
    </row>
    <row r="9" spans="1:6" ht="30" x14ac:dyDescent="0.25">
      <c r="A9" s="65"/>
      <c r="B9" s="66" t="str">
        <f>'IC-CBFP Evaluation Matrix'!B9</f>
        <v>1.1.5</v>
      </c>
      <c r="C9" s="65" t="str">
        <f>'IC-CBFP Evaluation Matrix'!C9</f>
        <v>Price Derivation</v>
      </c>
      <c r="D9" s="75"/>
      <c r="E9" s="69" t="s">
        <v>136</v>
      </c>
      <c r="F9" s="76"/>
    </row>
    <row r="10" spans="1:6" x14ac:dyDescent="0.25">
      <c r="A10" s="63"/>
      <c r="B10" s="64">
        <f>'IC-CBFP Evaluation Matrix'!B10</f>
        <v>1.2</v>
      </c>
      <c r="C10" s="63" t="str">
        <f>'IC-CBFP Evaluation Matrix'!C10</f>
        <v>Basic Cryptography</v>
      </c>
      <c r="D10" s="63"/>
      <c r="E10" s="63"/>
      <c r="F10" s="63"/>
    </row>
    <row r="11" spans="1:6" ht="30" x14ac:dyDescent="0.25">
      <c r="A11" s="62"/>
      <c r="B11" s="67" t="str">
        <f>'IC-CBFP Evaluation Matrix'!B11</f>
        <v>1.2.1</v>
      </c>
      <c r="C11" s="62" t="str">
        <f>'IC-CBFP Evaluation Matrix'!C11</f>
        <v>Terms and Definitions</v>
      </c>
      <c r="D11" s="61"/>
      <c r="E11" s="69" t="s">
        <v>137</v>
      </c>
      <c r="F11" s="61"/>
    </row>
    <row r="12" spans="1:6" ht="60" x14ac:dyDescent="0.25">
      <c r="A12" s="62"/>
      <c r="B12" s="67" t="str">
        <f>'IC-CBFP Evaluation Matrix'!B12</f>
        <v>1.2.2</v>
      </c>
      <c r="C12" s="62" t="str">
        <f>'IC-CBFP Evaluation Matrix'!C12</f>
        <v>Hash Functions</v>
      </c>
      <c r="D12" s="61"/>
      <c r="E12" s="69" t="s">
        <v>148</v>
      </c>
      <c r="F12" s="61"/>
    </row>
    <row r="13" spans="1:6" ht="90" x14ac:dyDescent="0.25">
      <c r="A13" s="62"/>
      <c r="B13" s="67" t="str">
        <f>'IC-CBFP Evaluation Matrix'!B13</f>
        <v>1.2.3</v>
      </c>
      <c r="C13" s="62" t="str">
        <f>'IC-CBFP Evaluation Matrix'!C13</f>
        <v>Symmetric and Asymmetric Encryption</v>
      </c>
      <c r="D13" s="76"/>
      <c r="E13" s="69" t="s">
        <v>149</v>
      </c>
      <c r="F13" s="76"/>
    </row>
    <row r="14" spans="1:6" ht="90" x14ac:dyDescent="0.25">
      <c r="A14" s="62"/>
      <c r="B14" s="67" t="str">
        <f>'IC-CBFP Evaluation Matrix'!B14</f>
        <v>1.2.4</v>
      </c>
      <c r="C14" s="62" t="str">
        <f>'IC-CBFP Evaluation Matrix'!C14</f>
        <v>Digital Signatures</v>
      </c>
      <c r="D14" s="76"/>
      <c r="E14" s="69" t="s">
        <v>150</v>
      </c>
      <c r="F14" s="76"/>
    </row>
    <row r="15" spans="1:6" x14ac:dyDescent="0.25">
      <c r="A15" s="68"/>
      <c r="B15" s="64">
        <f>'IC-CBFP Evaluation Matrix'!B15</f>
        <v>1.3</v>
      </c>
      <c r="C15" s="68" t="str">
        <f>'IC-CBFP Evaluation Matrix'!C15</f>
        <v>Bitcoin Basics</v>
      </c>
      <c r="D15" s="63"/>
      <c r="E15" s="63"/>
      <c r="F15" s="63"/>
    </row>
    <row r="16" spans="1:6" ht="75" x14ac:dyDescent="0.25">
      <c r="A16" s="62"/>
      <c r="B16" s="67" t="str">
        <f>'IC-CBFP Evaluation Matrix'!B16</f>
        <v>1.3.1</v>
      </c>
      <c r="C16" s="62" t="str">
        <f>'IC-CBFP Evaluation Matrix'!C16</f>
        <v>Bitcoin Community</v>
      </c>
      <c r="D16" s="69"/>
      <c r="E16" s="69" t="s">
        <v>151</v>
      </c>
      <c r="F16" s="61"/>
    </row>
    <row r="17" spans="1:6" ht="60" x14ac:dyDescent="0.25">
      <c r="A17" s="62"/>
      <c r="B17" s="67" t="str">
        <f>'IC-CBFP Evaluation Matrix'!B17</f>
        <v>1.3.2</v>
      </c>
      <c r="C17" s="62" t="str">
        <f>'IC-CBFP Evaluation Matrix'!C17</f>
        <v>Bitcoin Addresses and Keys</v>
      </c>
      <c r="D17" s="61"/>
      <c r="E17" s="69" t="s">
        <v>152</v>
      </c>
      <c r="F17" s="61"/>
    </row>
    <row r="18" spans="1:6" ht="45" x14ac:dyDescent="0.25">
      <c r="A18" s="62"/>
      <c r="B18" s="67" t="str">
        <f>'IC-CBFP Evaluation Matrix'!B18</f>
        <v>1.3.3</v>
      </c>
      <c r="C18" s="62" t="str">
        <f>'IC-CBFP Evaluation Matrix'!C18</f>
        <v>Bitcoin Transactions</v>
      </c>
      <c r="D18" s="69"/>
      <c r="E18" s="69" t="s">
        <v>153</v>
      </c>
      <c r="F18" s="61"/>
    </row>
    <row r="19" spans="1:6" ht="60" x14ac:dyDescent="0.25">
      <c r="A19" s="62"/>
      <c r="B19" s="67" t="str">
        <f>'IC-CBFP Evaluation Matrix'!B19</f>
        <v>1.3.4</v>
      </c>
      <c r="C19" s="62" t="str">
        <f>'IC-CBFP Evaluation Matrix'!C19</f>
        <v>Bitcoin Blockchain Ledger</v>
      </c>
      <c r="D19" s="61"/>
      <c r="E19" s="69" t="s">
        <v>154</v>
      </c>
      <c r="F19" s="61"/>
    </row>
    <row r="20" spans="1:6" ht="120" x14ac:dyDescent="0.25">
      <c r="A20" s="62"/>
      <c r="B20" s="67" t="str">
        <f>'IC-CBFP Evaluation Matrix'!B20</f>
        <v>1.3.5</v>
      </c>
      <c r="C20" s="62" t="str">
        <f>'IC-CBFP Evaluation Matrix'!C20</f>
        <v>Bitcoin the Unit</v>
      </c>
      <c r="D20" s="69"/>
      <c r="E20" s="69" t="s">
        <v>155</v>
      </c>
      <c r="F20" s="61"/>
    </row>
    <row r="21" spans="1:6" ht="105" x14ac:dyDescent="0.25">
      <c r="A21" s="62"/>
      <c r="B21" s="67" t="str">
        <f>'IC-CBFP Evaluation Matrix'!B21</f>
        <v>1.3.6</v>
      </c>
      <c r="C21" s="62" t="str">
        <f>'IC-CBFP Evaluation Matrix'!C21</f>
        <v>Bitcoin the Network</v>
      </c>
      <c r="D21" s="61"/>
      <c r="E21" s="69" t="s">
        <v>156</v>
      </c>
      <c r="F21" s="61"/>
    </row>
    <row r="22" spans="1:6" ht="60" x14ac:dyDescent="0.25">
      <c r="A22" s="62"/>
      <c r="B22" s="67" t="str">
        <f>'IC-CBFP Evaluation Matrix'!B22</f>
        <v>1.3.7</v>
      </c>
      <c r="C22" s="62" t="str">
        <f>'IC-CBFP Evaluation Matrix'!C22</f>
        <v>BIPS</v>
      </c>
      <c r="D22" s="69"/>
      <c r="E22" s="69" t="s">
        <v>158</v>
      </c>
      <c r="F22" s="61"/>
    </row>
    <row r="23" spans="1:6" ht="45" x14ac:dyDescent="0.25">
      <c r="A23" s="62"/>
      <c r="B23" s="67" t="str">
        <f>'IC-CBFP Evaluation Matrix'!B23</f>
        <v>1.3.8</v>
      </c>
      <c r="C23" s="62" t="str">
        <f>'IC-CBFP Evaluation Matrix'!C23</f>
        <v>Buying and Selling bitcoin</v>
      </c>
      <c r="D23" s="61"/>
      <c r="E23" s="69" t="s">
        <v>159</v>
      </c>
      <c r="F23" s="61"/>
    </row>
    <row r="24" spans="1:6" ht="45" x14ac:dyDescent="0.25">
      <c r="A24" s="62"/>
      <c r="B24" s="67" t="str">
        <f>'IC-CBFP Evaluation Matrix'!B24</f>
        <v>1.3.9</v>
      </c>
      <c r="C24" s="62" t="str">
        <f>'IC-CBFP Evaluation Matrix'!C24</f>
        <v>Blockchain Explorers</v>
      </c>
      <c r="D24" s="69"/>
      <c r="E24" s="69" t="s">
        <v>160</v>
      </c>
      <c r="F24" s="61"/>
    </row>
    <row r="25" spans="1:6" ht="75" x14ac:dyDescent="0.25">
      <c r="A25" s="62"/>
      <c r="B25" s="67" t="str">
        <f>'IC-CBFP Evaluation Matrix'!B25</f>
        <v>1.3.10</v>
      </c>
      <c r="C25" s="62" t="str">
        <f>'IC-CBFP Evaluation Matrix'!C25</f>
        <v>UTXOs</v>
      </c>
      <c r="D25" s="61"/>
      <c r="E25" s="69" t="s">
        <v>163</v>
      </c>
      <c r="F25" s="61"/>
    </row>
    <row r="26" spans="1:6" x14ac:dyDescent="0.25">
      <c r="A26" s="63"/>
      <c r="B26" s="64">
        <f>'IC-CBFP Evaluation Matrix'!B26</f>
        <v>1.4</v>
      </c>
      <c r="C26" s="63" t="str">
        <f>'IC-CBFP Evaluation Matrix'!C26</f>
        <v>Mining</v>
      </c>
      <c r="D26" s="63"/>
      <c r="E26" s="63"/>
      <c r="F26" s="63"/>
    </row>
    <row r="27" spans="1:6" ht="30" x14ac:dyDescent="0.25">
      <c r="A27" s="62"/>
      <c r="B27" s="67" t="str">
        <f>'IC-CBFP Evaluation Matrix'!B27</f>
        <v>1.4.1</v>
      </c>
      <c r="C27" s="62" t="str">
        <f>'IC-CBFP Evaluation Matrix'!C27</f>
        <v>Purpose and Function</v>
      </c>
      <c r="D27" s="61"/>
      <c r="E27" s="69" t="s">
        <v>138</v>
      </c>
      <c r="F27" s="61"/>
    </row>
    <row r="28" spans="1:6" ht="30" x14ac:dyDescent="0.25">
      <c r="A28" s="62"/>
      <c r="B28" s="67" t="str">
        <f>'IC-CBFP Evaluation Matrix'!B28</f>
        <v>1.4.2</v>
      </c>
      <c r="C28" s="62" t="str">
        <f>'IC-CBFP Evaluation Matrix'!C28</f>
        <v>Algorithm</v>
      </c>
      <c r="D28" s="61"/>
      <c r="E28" s="69" t="s">
        <v>161</v>
      </c>
      <c r="F28" s="61"/>
    </row>
    <row r="29" spans="1:6" ht="30" x14ac:dyDescent="0.25">
      <c r="A29" s="62"/>
      <c r="B29" s="67" t="str">
        <f>'IC-CBFP Evaluation Matrix'!B29</f>
        <v>1.4.3</v>
      </c>
      <c r="C29" s="62" t="str">
        <f>'IC-CBFP Evaluation Matrix'!C29</f>
        <v>Mining Pools</v>
      </c>
      <c r="D29" s="61"/>
      <c r="E29" s="69" t="s">
        <v>139</v>
      </c>
      <c r="F29" s="61"/>
    </row>
    <row r="30" spans="1:6" ht="30" x14ac:dyDescent="0.25">
      <c r="A30" s="62"/>
      <c r="B30" s="67" t="str">
        <f>'IC-CBFP Evaluation Matrix'!B30</f>
        <v>1.4.4</v>
      </c>
      <c r="C30" s="62" t="str">
        <f>'IC-CBFP Evaluation Matrix'!C30</f>
        <v>Mining Hardware</v>
      </c>
      <c r="D30" s="61"/>
      <c r="E30" s="69" t="s">
        <v>140</v>
      </c>
      <c r="F30" s="61"/>
    </row>
    <row r="31" spans="1:6" ht="30" x14ac:dyDescent="0.25">
      <c r="A31" s="62"/>
      <c r="B31" s="67" t="str">
        <f>'IC-CBFP Evaluation Matrix'!B31</f>
        <v>1.4.5</v>
      </c>
      <c r="C31" s="62" t="str">
        <f>'IC-CBFP Evaluation Matrix'!C31</f>
        <v>Security and Centralization</v>
      </c>
      <c r="D31" s="61"/>
      <c r="E31" s="69" t="s">
        <v>141</v>
      </c>
      <c r="F31" s="61"/>
    </row>
    <row r="32" spans="1:6" x14ac:dyDescent="0.25">
      <c r="A32" s="63"/>
      <c r="B32" s="64">
        <f>'IC-CBFP Evaluation Matrix'!B32</f>
        <v>1.5</v>
      </c>
      <c r="C32" s="63" t="str">
        <f>'IC-CBFP Evaluation Matrix'!C32</f>
        <v>Wallets, Clients and Key Management</v>
      </c>
      <c r="D32" s="63"/>
      <c r="E32" s="63"/>
      <c r="F32" s="63"/>
    </row>
    <row r="33" spans="1:6" ht="30" x14ac:dyDescent="0.25">
      <c r="A33" s="62"/>
      <c r="B33" s="67" t="str">
        <f>'IC-CBFP Evaluation Matrix'!B33</f>
        <v>1.5.1</v>
      </c>
      <c r="C33" s="62" t="str">
        <f>'IC-CBFP Evaluation Matrix'!C33</f>
        <v>Wallet Types</v>
      </c>
      <c r="D33" s="70"/>
      <c r="E33" s="69" t="s">
        <v>142</v>
      </c>
      <c r="F33" s="61"/>
    </row>
    <row r="34" spans="1:6" ht="30" x14ac:dyDescent="0.25">
      <c r="A34" s="62"/>
      <c r="B34" s="67" t="str">
        <f>'IC-CBFP Evaluation Matrix'!B34</f>
        <v>1.5.2</v>
      </c>
      <c r="C34" s="62" t="str">
        <f>'IC-CBFP Evaluation Matrix'!C34</f>
        <v>Bitcoin Clients</v>
      </c>
      <c r="D34" s="70"/>
      <c r="E34" s="69" t="s">
        <v>143</v>
      </c>
      <c r="F34" s="61"/>
    </row>
    <row r="35" spans="1:6" ht="135" x14ac:dyDescent="0.25">
      <c r="A35" s="62"/>
      <c r="B35" s="67" t="str">
        <f>'IC-CBFP Evaluation Matrix'!B35</f>
        <v>1.5.3</v>
      </c>
      <c r="C35" s="62" t="str">
        <f>'IC-CBFP Evaluation Matrix'!C35</f>
        <v>Deterministic Wallets (AKA BIP32)</v>
      </c>
      <c r="D35" s="70"/>
      <c r="E35" s="69" t="s">
        <v>162</v>
      </c>
      <c r="F35" s="61"/>
    </row>
    <row r="36" spans="1:6" ht="90" x14ac:dyDescent="0.25">
      <c r="A36" s="62"/>
      <c r="B36" s="67" t="str">
        <f>'IC-CBFP Evaluation Matrix'!B36</f>
        <v>1.5.4</v>
      </c>
      <c r="C36" s="62" t="str">
        <f>'IC-CBFP Evaluation Matrix'!C36</f>
        <v>Passphrase-Encrypted Wallets (AKA BIP38)</v>
      </c>
      <c r="D36" s="70"/>
      <c r="E36" s="69" t="s">
        <v>164</v>
      </c>
      <c r="F36" s="61"/>
    </row>
    <row r="37" spans="1:6" ht="75" x14ac:dyDescent="0.25">
      <c r="A37" s="62"/>
      <c r="B37" s="67" t="str">
        <f>'IC-CBFP Evaluation Matrix'!B37</f>
        <v>1.5.5</v>
      </c>
      <c r="C37" s="62" t="str">
        <f>'IC-CBFP Evaluation Matrix'!C37</f>
        <v>Backup</v>
      </c>
      <c r="D37" s="70"/>
      <c r="E37" s="69" t="s">
        <v>166</v>
      </c>
      <c r="F37" s="61"/>
    </row>
    <row r="38" spans="1:6" ht="30" x14ac:dyDescent="0.25">
      <c r="A38" s="62"/>
      <c r="B38" s="67" t="str">
        <f>'IC-CBFP Evaluation Matrix'!B38</f>
        <v>1.5.6</v>
      </c>
      <c r="C38" s="62" t="str">
        <f>'IC-CBFP Evaluation Matrix'!C38</f>
        <v>Importing and Exporting</v>
      </c>
      <c r="D38" s="70"/>
      <c r="E38" s="69" t="s">
        <v>165</v>
      </c>
      <c r="F38" s="61"/>
    </row>
    <row r="39" spans="1:6" x14ac:dyDescent="0.25">
      <c r="A39" s="63"/>
      <c r="B39" s="64">
        <f>'IC-CBFP Evaluation Matrix'!B39</f>
        <v>1.6</v>
      </c>
      <c r="C39" s="63" t="str">
        <f>'IC-CBFP Evaluation Matrix'!C39</f>
        <v>Bitcoin Commerce</v>
      </c>
      <c r="D39" s="63"/>
      <c r="E39" s="63"/>
      <c r="F39" s="63"/>
    </row>
    <row r="40" spans="1:6" ht="30" x14ac:dyDescent="0.25">
      <c r="A40" s="62"/>
      <c r="B40" s="67" t="str">
        <f>'IC-CBFP Evaluation Matrix'!B40</f>
        <v>1.6.1</v>
      </c>
      <c r="C40" s="62" t="str">
        <f>'IC-CBFP Evaluation Matrix'!C40</f>
        <v>Bitcoin as a Merchant</v>
      </c>
      <c r="D40" s="61"/>
      <c r="E40" s="69" t="s">
        <v>144</v>
      </c>
      <c r="F40" s="61"/>
    </row>
    <row r="41" spans="1:6" ht="60" x14ac:dyDescent="0.25">
      <c r="A41" s="62"/>
      <c r="B41" s="67" t="str">
        <f>'IC-CBFP Evaluation Matrix'!B41</f>
        <v>1.6.2</v>
      </c>
      <c r="C41" s="62" t="str">
        <f>'IC-CBFP Evaluation Matrix'!C41</f>
        <v>Bitcoin Payment Processors</v>
      </c>
      <c r="D41" s="61"/>
      <c r="E41" s="69" t="s">
        <v>167</v>
      </c>
      <c r="F41" s="61"/>
    </row>
    <row r="42" spans="1:6" ht="30" x14ac:dyDescent="0.25">
      <c r="A42" s="62"/>
      <c r="B42" s="67" t="str">
        <f>'IC-CBFP Evaluation Matrix'!B42</f>
        <v>1.6.3</v>
      </c>
      <c r="C42" s="62" t="str">
        <f>'IC-CBFP Evaluation Matrix'!C42</f>
        <v>Secure Payment Protocol (AKA BIP70)</v>
      </c>
      <c r="D42" s="61"/>
      <c r="E42" s="69" t="s">
        <v>168</v>
      </c>
      <c r="F42" s="61"/>
    </row>
  </sheetData>
  <sheetProtection password="CBEB" sheet="1" objects="1" scenarios="1" formatCells="0" formatColumns="0" formatRows="0" insertRows="0" deleteRows="0" selectLockedCells="1"/>
  <mergeCells count="1">
    <mergeCell ref="A1:F1"/>
  </mergeCells>
  <phoneticPr fontId="17" type="noConversion"/>
  <conditionalFormatting sqref="D33:D34 F33:F34 D40:D42 F40:F42">
    <cfRule type="expression" dxfId="3" priority="56" stopIfTrue="1">
      <formula>"$A$3 == ""s"""</formula>
    </cfRule>
  </conditionalFormatting>
  <conditionalFormatting sqref="D5">
    <cfRule type="expression" dxfId="2" priority="3" stopIfTrue="1">
      <formula>"$A$3 == ""s"""</formula>
    </cfRule>
  </conditionalFormatting>
  <conditionalFormatting sqref="D35:D36 F35:F36">
    <cfRule type="expression" dxfId="1" priority="2" stopIfTrue="1">
      <formula>"$A$3 == ""s"""</formula>
    </cfRule>
  </conditionalFormatting>
  <conditionalFormatting sqref="D37:D38 F37:F38">
    <cfRule type="expression" dxfId="0" priority="1" stopIfTrue="1">
      <formula>"$A$3 == ""s"""</formula>
    </cfRule>
  </conditionalFormatting>
  <pageMargins left="0.7" right="0.7" top="0.75" bottom="0.75" header="0.3" footer="0.3"/>
  <pageSetup scale="76" fitToHeight="1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4041"/>
    <pageSetUpPr fitToPage="1"/>
  </sheetPr>
  <dimension ref="A1:H11"/>
  <sheetViews>
    <sheetView workbookViewId="0">
      <pane xSplit="1" ySplit="6" topLeftCell="B7" activePane="bottomRight" state="frozen"/>
      <selection pane="topRight" activeCell="C1" sqref="C1"/>
      <selection pane="bottomLeft" activeCell="A7" sqref="A7"/>
      <selection pane="bottomRight" activeCell="A10" sqref="A10"/>
    </sheetView>
  </sheetViews>
  <sheetFormatPr defaultColWidth="15.140625" defaultRowHeight="15" x14ac:dyDescent="0.25"/>
  <cols>
    <col min="1" max="1" width="38.140625" customWidth="1"/>
    <col min="2" max="2" width="29.7109375" customWidth="1"/>
    <col min="3" max="3" width="30.28515625" customWidth="1"/>
    <col min="4" max="4" width="37.7109375" customWidth="1"/>
    <col min="5" max="5" width="17.7109375" customWidth="1"/>
    <col min="6" max="6" width="16.140625" customWidth="1"/>
    <col min="7" max="7" width="16" customWidth="1"/>
    <col min="8" max="8" width="16.28515625" customWidth="1"/>
  </cols>
  <sheetData>
    <row r="1" spans="1:8" ht="15.75" thickBot="1" x14ac:dyDescent="0.3">
      <c r="A1" s="81" t="s">
        <v>58</v>
      </c>
      <c r="B1" s="37"/>
      <c r="C1" s="37"/>
      <c r="D1" s="38"/>
      <c r="E1" s="78" t="s">
        <v>57</v>
      </c>
      <c r="F1" s="79"/>
      <c r="G1" s="79"/>
      <c r="H1" s="80"/>
    </row>
    <row r="2" spans="1:8" ht="16.5" thickTop="1" thickBot="1" x14ac:dyDescent="0.3">
      <c r="A2" s="82"/>
      <c r="B2" s="37"/>
      <c r="C2" s="37"/>
      <c r="D2" s="38" t="s">
        <v>56</v>
      </c>
      <c r="E2" s="44"/>
      <c r="F2" s="44"/>
      <c r="G2" s="45"/>
      <c r="H2" s="46"/>
    </row>
    <row r="3" spans="1:8" ht="16.5" thickTop="1" thickBot="1" x14ac:dyDescent="0.3">
      <c r="A3" s="82"/>
      <c r="B3" s="37"/>
      <c r="C3" s="37"/>
      <c r="D3" s="38" t="s">
        <v>55</v>
      </c>
      <c r="E3" s="44"/>
      <c r="F3" s="44"/>
      <c r="G3" s="45"/>
      <c r="H3" s="46"/>
    </row>
    <row r="4" spans="1:8" ht="16.5" customHeight="1" thickTop="1" thickBot="1" x14ac:dyDescent="0.3">
      <c r="A4" s="82"/>
      <c r="B4" s="37"/>
      <c r="C4" s="37"/>
      <c r="D4" s="38" t="s">
        <v>54</v>
      </c>
      <c r="E4" s="44"/>
      <c r="F4" s="44"/>
      <c r="G4" s="45"/>
      <c r="H4" s="46"/>
    </row>
    <row r="5" spans="1:8" ht="15.75" thickTop="1" x14ac:dyDescent="0.25">
      <c r="A5" s="82"/>
      <c r="B5" s="39"/>
      <c r="C5" s="39"/>
      <c r="D5" s="40" t="s">
        <v>53</v>
      </c>
      <c r="E5" s="41"/>
      <c r="F5" s="41"/>
      <c r="G5" s="42"/>
      <c r="H5" s="43"/>
    </row>
    <row r="6" spans="1:8" x14ac:dyDescent="0.25">
      <c r="A6" s="47" t="s">
        <v>52</v>
      </c>
      <c r="B6" s="47" t="s">
        <v>51</v>
      </c>
      <c r="C6" s="47" t="s">
        <v>50</v>
      </c>
      <c r="D6" s="47" t="s">
        <v>49</v>
      </c>
      <c r="E6" s="47" t="s">
        <v>48</v>
      </c>
      <c r="F6" s="47" t="s">
        <v>48</v>
      </c>
      <c r="G6" s="47" t="s">
        <v>48</v>
      </c>
      <c r="H6" s="47" t="s">
        <v>48</v>
      </c>
    </row>
    <row r="7" spans="1:8" ht="117" customHeight="1" x14ac:dyDescent="0.25">
      <c r="A7" s="48" t="s">
        <v>47</v>
      </c>
      <c r="B7" s="36" t="s">
        <v>46</v>
      </c>
      <c r="C7" s="35" t="s">
        <v>45</v>
      </c>
      <c r="D7" s="34" t="s">
        <v>44</v>
      </c>
      <c r="E7" s="33"/>
      <c r="F7" s="33"/>
      <c r="G7" s="29"/>
      <c r="H7" s="32"/>
    </row>
    <row r="8" spans="1:8" ht="123" customHeight="1" x14ac:dyDescent="0.25">
      <c r="A8" s="49" t="s">
        <v>43</v>
      </c>
      <c r="B8" s="31" t="s">
        <v>42</v>
      </c>
      <c r="C8" s="26" t="s">
        <v>61</v>
      </c>
      <c r="D8" s="25" t="s">
        <v>41</v>
      </c>
      <c r="E8" s="30"/>
      <c r="F8" s="30"/>
      <c r="G8" s="29"/>
      <c r="H8" s="28"/>
    </row>
    <row r="9" spans="1:8" ht="123" customHeight="1" x14ac:dyDescent="0.25">
      <c r="A9" s="50" t="s">
        <v>60</v>
      </c>
      <c r="B9" s="27" t="s">
        <v>40</v>
      </c>
      <c r="C9" s="26" t="s">
        <v>39</v>
      </c>
      <c r="D9" s="25" t="s">
        <v>38</v>
      </c>
      <c r="E9" s="24"/>
      <c r="F9" s="24"/>
      <c r="G9" s="23"/>
      <c r="H9" s="22"/>
    </row>
    <row r="10" spans="1:8" ht="123" customHeight="1" thickBot="1" x14ac:dyDescent="0.3">
      <c r="A10" s="50" t="s">
        <v>59</v>
      </c>
      <c r="B10" s="27" t="s">
        <v>37</v>
      </c>
      <c r="C10" s="51" t="s">
        <v>36</v>
      </c>
      <c r="D10" s="52" t="s">
        <v>35</v>
      </c>
      <c r="E10" s="24"/>
      <c r="F10" s="24"/>
      <c r="G10" s="23"/>
      <c r="H10" s="22"/>
    </row>
    <row r="11" spans="1:8" x14ac:dyDescent="0.25">
      <c r="A11" s="53"/>
      <c r="B11" s="53"/>
      <c r="C11" s="53"/>
      <c r="D11" s="53"/>
      <c r="E11" s="53"/>
      <c r="F11" s="53"/>
      <c r="G11" s="53"/>
      <c r="H11" s="53"/>
    </row>
  </sheetData>
  <mergeCells count="2">
    <mergeCell ref="E1:H1"/>
    <mergeCell ref="A1:A5"/>
  </mergeCells>
  <pageMargins left="0.7" right="0.7" top="0.75" bottom="0.75" header="0.3" footer="0.3"/>
  <pageSetup scale="61" orientation="landscape" r:id="rId1"/>
  <headerFooter scaleWithDoc="0">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defaultColWidth="15.140625" defaultRowHeight="15" customHeight="1" x14ac:dyDescent="0.25"/>
  <cols>
    <col min="1" max="256" width="7.7109375" customWidth="1"/>
  </cols>
  <sheetData>
    <row r="1" spans="1:256" ht="13.5" customHeight="1" x14ac:dyDescent="0.25">
      <c r="A1" s="17">
        <f>IF(Cover!1:1,"AAAAAB2X9gA=",0)</f>
        <v>0</v>
      </c>
      <c r="B1" s="17" t="e">
        <f>AND(Cover!A1,"AAAAAB2X9gE=")</f>
        <v>#VALUE!</v>
      </c>
      <c r="C1" s="17" t="e">
        <f>AND(Cover!C1,"AAAAAB2X9gI=")</f>
        <v>#VALUE!</v>
      </c>
      <c r="D1" s="17" t="e">
        <f>AND(Cover!D1,"AAAAAB2X9gM=")</f>
        <v>#VALUE!</v>
      </c>
      <c r="E1" s="17" t="e">
        <f t="shared" ref="E1:H1" si="0">AND(Cover!#REF!,"AAAAAB2X9gQ=")</f>
        <v>#REF!</v>
      </c>
      <c r="F1" s="17" t="e">
        <f t="shared" si="0"/>
        <v>#REF!</v>
      </c>
      <c r="G1" s="17" t="e">
        <f t="shared" si="0"/>
        <v>#REF!</v>
      </c>
      <c r="H1" s="17" t="e">
        <f t="shared" si="0"/>
        <v>#REF!</v>
      </c>
      <c r="I1" s="17" t="e">
        <f>AND(Cover!E1,"AAAAAB2X9gg=")</f>
        <v>#VALUE!</v>
      </c>
      <c r="J1" s="17" t="e">
        <f>AND(Cover!#REF!,"AAAAAB2X9gk=")</f>
        <v>#REF!</v>
      </c>
      <c r="K1" s="17">
        <f>IF(Cover!2:2,"AAAAAB2X9go=",0)</f>
        <v>0</v>
      </c>
      <c r="L1" s="17" t="e">
        <f>AND(Cover!A2,"AAAAAB2X9gs=")</f>
        <v>#VALUE!</v>
      </c>
      <c r="M1" s="17" t="e">
        <f>AND(Cover!C2,"AAAAAB2X9gw=")</f>
        <v>#VALUE!</v>
      </c>
      <c r="N1" s="17" t="e">
        <f>AND(Cover!D2,"AAAAAB2X9g0=")</f>
        <v>#VALUE!</v>
      </c>
      <c r="O1" s="17" t="e">
        <f t="shared" ref="O1:R1" si="1">AND(Cover!#REF!,"AAAAAB2X9g4=")</f>
        <v>#REF!</v>
      </c>
      <c r="P1" s="17" t="e">
        <f t="shared" si="1"/>
        <v>#REF!</v>
      </c>
      <c r="Q1" s="17" t="e">
        <f t="shared" si="1"/>
        <v>#REF!</v>
      </c>
      <c r="R1" s="17" t="e">
        <f t="shared" si="1"/>
        <v>#REF!</v>
      </c>
      <c r="S1" s="17" t="e">
        <f>AND(Cover!E2,"AAAAAB2X9hI=")</f>
        <v>#VALUE!</v>
      </c>
      <c r="T1" s="17" t="e">
        <f t="shared" ref="T1:AD1" si="2">AND(Cover!#REF!,"AAAAAB2X9hM=")</f>
        <v>#REF!</v>
      </c>
      <c r="U1" s="17" t="e">
        <f t="shared" si="2"/>
        <v>#REF!</v>
      </c>
      <c r="V1" s="17" t="e">
        <f t="shared" si="2"/>
        <v>#REF!</v>
      </c>
      <c r="W1" s="17" t="e">
        <f t="shared" si="2"/>
        <v>#REF!</v>
      </c>
      <c r="X1" s="17" t="e">
        <f t="shared" si="2"/>
        <v>#REF!</v>
      </c>
      <c r="Y1" s="17" t="e">
        <f t="shared" si="2"/>
        <v>#REF!</v>
      </c>
      <c r="Z1" s="17" t="e">
        <f t="shared" si="2"/>
        <v>#REF!</v>
      </c>
      <c r="AA1" s="17" t="e">
        <f t="shared" si="2"/>
        <v>#REF!</v>
      </c>
      <c r="AB1" s="17" t="e">
        <f t="shared" si="2"/>
        <v>#REF!</v>
      </c>
      <c r="AC1" s="17" t="e">
        <f t="shared" si="2"/>
        <v>#REF!</v>
      </c>
      <c r="AD1" s="17" t="e">
        <f t="shared" si="2"/>
        <v>#REF!</v>
      </c>
      <c r="AE1" s="17">
        <f>IF(Cover!3:3,"AAAAAB2X9h4=",0)</f>
        <v>0</v>
      </c>
      <c r="AF1" s="17" t="e">
        <f>AND(Cover!A3,"AAAAAB2X9h8=")</f>
        <v>#VALUE!</v>
      </c>
      <c r="AG1" s="17" t="e">
        <f>AND(Cover!C3,"AAAAAB2X9iA=")</f>
        <v>#VALUE!</v>
      </c>
      <c r="AH1" s="17" t="e">
        <f>AND(Cover!D3,"AAAAAB2X9iE=")</f>
        <v>#VALUE!</v>
      </c>
      <c r="AI1" s="17" t="e">
        <f t="shared" ref="AI1:AL1" si="3">AND(Cover!#REF!,"AAAAAB2X9iI=")</f>
        <v>#REF!</v>
      </c>
      <c r="AJ1" s="17" t="e">
        <f t="shared" si="3"/>
        <v>#REF!</v>
      </c>
      <c r="AK1" s="17" t="e">
        <f t="shared" si="3"/>
        <v>#REF!</v>
      </c>
      <c r="AL1" s="17" t="e">
        <f t="shared" si="3"/>
        <v>#REF!</v>
      </c>
      <c r="AM1" s="17" t="e">
        <f>AND(Cover!E3,"AAAAAB2X9iY=")</f>
        <v>#VALUE!</v>
      </c>
      <c r="AN1" s="17" t="e">
        <f>AND(Cover!#REF!,"AAAAAB2X9ic=")</f>
        <v>#REF!</v>
      </c>
      <c r="AO1" s="17">
        <f>IF(Cover!4:4,"AAAAAB2X9ig=",0)</f>
        <v>0</v>
      </c>
      <c r="AP1" s="17" t="e">
        <f>AND(Cover!A4,"AAAAAB2X9ik=")</f>
        <v>#VALUE!</v>
      </c>
      <c r="AQ1" s="17" t="e">
        <f>AND(Cover!C4,"AAAAAB2X9io=")</f>
        <v>#VALUE!</v>
      </c>
      <c r="AR1" s="17" t="e">
        <f>AND(Cover!D4,"AAAAAB2X9is=")</f>
        <v>#VALUE!</v>
      </c>
      <c r="AS1" s="17" t="e">
        <f t="shared" ref="AS1:AV1" si="4">AND(Cover!#REF!,"AAAAAB2X9iw=")</f>
        <v>#REF!</v>
      </c>
      <c r="AT1" s="17" t="e">
        <f t="shared" si="4"/>
        <v>#REF!</v>
      </c>
      <c r="AU1" s="17" t="e">
        <f t="shared" si="4"/>
        <v>#REF!</v>
      </c>
      <c r="AV1" s="17" t="e">
        <f t="shared" si="4"/>
        <v>#REF!</v>
      </c>
      <c r="AW1" s="17" t="e">
        <f>AND(Cover!E4,"AAAAAB2X9jA=")</f>
        <v>#VALUE!</v>
      </c>
      <c r="AX1" s="17" t="e">
        <f t="shared" ref="AX1:CB1" si="5">AND(Cover!#REF!,"AAAAAB2X9jE=")</f>
        <v>#REF!</v>
      </c>
      <c r="AY1" s="17" t="e">
        <f t="shared" si="5"/>
        <v>#REF!</v>
      </c>
      <c r="AZ1" s="17" t="e">
        <f t="shared" si="5"/>
        <v>#REF!</v>
      </c>
      <c r="BA1" s="17" t="e">
        <f t="shared" si="5"/>
        <v>#REF!</v>
      </c>
      <c r="BB1" s="17" t="e">
        <f t="shared" si="5"/>
        <v>#REF!</v>
      </c>
      <c r="BC1" s="17" t="e">
        <f t="shared" si="5"/>
        <v>#REF!</v>
      </c>
      <c r="BD1" s="17" t="e">
        <f t="shared" si="5"/>
        <v>#REF!</v>
      </c>
      <c r="BE1" s="17" t="e">
        <f t="shared" si="5"/>
        <v>#REF!</v>
      </c>
      <c r="BF1" s="17" t="e">
        <f t="shared" si="5"/>
        <v>#REF!</v>
      </c>
      <c r="BG1" s="17" t="e">
        <f t="shared" si="5"/>
        <v>#REF!</v>
      </c>
      <c r="BH1" s="17" t="e">
        <f t="shared" si="5"/>
        <v>#REF!</v>
      </c>
      <c r="BI1" s="17" t="e">
        <f t="shared" si="5"/>
        <v>#REF!</v>
      </c>
      <c r="BJ1" s="17" t="e">
        <f t="shared" si="5"/>
        <v>#REF!</v>
      </c>
      <c r="BK1" s="17" t="e">
        <f t="shared" si="5"/>
        <v>#REF!</v>
      </c>
      <c r="BL1" s="17" t="e">
        <f t="shared" si="5"/>
        <v>#REF!</v>
      </c>
      <c r="BM1" s="17" t="e">
        <f t="shared" si="5"/>
        <v>#REF!</v>
      </c>
      <c r="BN1" s="17" t="e">
        <f t="shared" si="5"/>
        <v>#REF!</v>
      </c>
      <c r="BO1" s="17" t="e">
        <f t="shared" si="5"/>
        <v>#REF!</v>
      </c>
      <c r="BP1" s="17" t="e">
        <f t="shared" si="5"/>
        <v>#REF!</v>
      </c>
      <c r="BQ1" s="17" t="e">
        <f t="shared" si="5"/>
        <v>#REF!</v>
      </c>
      <c r="BR1" s="17" t="e">
        <f t="shared" si="5"/>
        <v>#REF!</v>
      </c>
      <c r="BS1" s="17" t="e">
        <f t="shared" si="5"/>
        <v>#REF!</v>
      </c>
      <c r="BT1" s="17" t="e">
        <f t="shared" si="5"/>
        <v>#REF!</v>
      </c>
      <c r="BU1" s="17" t="e">
        <f t="shared" si="5"/>
        <v>#REF!</v>
      </c>
      <c r="BV1" s="17" t="e">
        <f t="shared" si="5"/>
        <v>#REF!</v>
      </c>
      <c r="BW1" s="17" t="e">
        <f t="shared" si="5"/>
        <v>#REF!</v>
      </c>
      <c r="BX1" s="17" t="e">
        <f t="shared" si="5"/>
        <v>#REF!</v>
      </c>
      <c r="BY1" s="17" t="e">
        <f t="shared" si="5"/>
        <v>#REF!</v>
      </c>
      <c r="BZ1" s="17" t="e">
        <f t="shared" si="5"/>
        <v>#REF!</v>
      </c>
      <c r="CA1" s="17" t="e">
        <f t="shared" si="5"/>
        <v>#REF!</v>
      </c>
      <c r="CB1" s="17" t="e">
        <f t="shared" si="5"/>
        <v>#REF!</v>
      </c>
      <c r="CC1" s="17">
        <f>IF(Cover!5:5,"AAAAAB2X9lA=",0)</f>
        <v>0</v>
      </c>
      <c r="CD1" s="17" t="e">
        <f>AND(Cover!A5,"AAAAAB2X9lE=")</f>
        <v>#VALUE!</v>
      </c>
      <c r="CE1" s="17" t="e">
        <f>AND(Cover!C5,"AAAAAB2X9lI=")</f>
        <v>#VALUE!</v>
      </c>
      <c r="CF1" s="17" t="e">
        <f>AND(Cover!D5,"AAAAAB2X9lM=")</f>
        <v>#VALUE!</v>
      </c>
      <c r="CG1" s="17" t="e">
        <f t="shared" ref="CG1:CJ1" si="6">AND(Cover!#REF!,"AAAAAB2X9lQ=")</f>
        <v>#REF!</v>
      </c>
      <c r="CH1" s="17" t="e">
        <f t="shared" si="6"/>
        <v>#REF!</v>
      </c>
      <c r="CI1" s="17" t="e">
        <f t="shared" si="6"/>
        <v>#REF!</v>
      </c>
      <c r="CJ1" s="17" t="e">
        <f t="shared" si="6"/>
        <v>#REF!</v>
      </c>
      <c r="CK1" s="17" t="e">
        <f>AND(Cover!E5,"AAAAAB2X9lg=")</f>
        <v>#VALUE!</v>
      </c>
      <c r="CL1" s="17" t="e">
        <f>AND(Cover!#REF!,"AAAAAB2X9lk=")</f>
        <v>#REF!</v>
      </c>
      <c r="CM1" s="17">
        <f>IF(Cover!7:7,"AAAAAB2X9lo=",0)</f>
        <v>0</v>
      </c>
      <c r="CN1" s="17" t="e">
        <f>AND(Cover!A7,"AAAAAB2X9ls=")</f>
        <v>#VALUE!</v>
      </c>
      <c r="CO1" s="17" t="e">
        <f>AND(Cover!C7,"AAAAAB2X9lw=")</f>
        <v>#VALUE!</v>
      </c>
      <c r="CP1" s="17" t="e">
        <f>AND(Cover!D7,"AAAAAB2X9l0=")</f>
        <v>#VALUE!</v>
      </c>
      <c r="CQ1" s="17" t="e">
        <f t="shared" ref="CQ1:CT1" si="7">AND(Cover!#REF!,"AAAAAB2X9l4=")</f>
        <v>#REF!</v>
      </c>
      <c r="CR1" s="17" t="e">
        <f t="shared" si="7"/>
        <v>#REF!</v>
      </c>
      <c r="CS1" s="17" t="e">
        <f t="shared" si="7"/>
        <v>#REF!</v>
      </c>
      <c r="CT1" s="17" t="e">
        <f t="shared" si="7"/>
        <v>#REF!</v>
      </c>
      <c r="CU1" s="17" t="e">
        <f>AND(Cover!E7,"AAAAAB2X9mI=")</f>
        <v>#VALUE!</v>
      </c>
      <c r="CV1" s="17" t="e">
        <f>AND(Cover!#REF!,"AAAAAB2X9mM=")</f>
        <v>#REF!</v>
      </c>
      <c r="CW1" s="17">
        <f>IF(Cover!8:8,"AAAAAB2X9mQ=",0)</f>
        <v>0</v>
      </c>
      <c r="CX1" s="17" t="e">
        <f>AND(Cover!A8,"AAAAAB2X9mU=")</f>
        <v>#VALUE!</v>
      </c>
      <c r="CY1" s="17" t="e">
        <f>AND(Cover!C8,"AAAAAB2X9mY=")</f>
        <v>#VALUE!</v>
      </c>
      <c r="CZ1" s="17" t="e">
        <f>AND(Cover!D8,"AAAAAB2X9mc=")</f>
        <v>#VALUE!</v>
      </c>
      <c r="DA1" s="17" t="e">
        <f t="shared" ref="DA1:DD1" si="8">AND(Cover!#REF!,"AAAAAB2X9mg=")</f>
        <v>#REF!</v>
      </c>
      <c r="DB1" s="17" t="e">
        <f t="shared" si="8"/>
        <v>#REF!</v>
      </c>
      <c r="DC1" s="17" t="e">
        <f t="shared" si="8"/>
        <v>#REF!</v>
      </c>
      <c r="DD1" s="17" t="e">
        <f t="shared" si="8"/>
        <v>#REF!</v>
      </c>
      <c r="DE1" s="17" t="e">
        <f>AND(Cover!E8,"AAAAAB2X9mw=")</f>
        <v>#VALUE!</v>
      </c>
      <c r="DF1" s="17" t="e">
        <f>AND(Cover!#REF!,"AAAAAB2X9m0=")</f>
        <v>#REF!</v>
      </c>
      <c r="DG1" s="17">
        <f>IF(Cover!9:9,"AAAAAB2X9m4=",0)</f>
        <v>0</v>
      </c>
      <c r="DH1" s="17" t="e">
        <f>AND(Cover!A9,"AAAAAB2X9m8=")</f>
        <v>#VALUE!</v>
      </c>
      <c r="DI1" s="17" t="e">
        <f>AND(Cover!C9,"AAAAAB2X9nA=")</f>
        <v>#VALUE!</v>
      </c>
      <c r="DJ1" s="17" t="e">
        <f>AND(Cover!D9,"AAAAAB2X9nE=")</f>
        <v>#VALUE!</v>
      </c>
      <c r="DK1" s="17" t="e">
        <f>AND(Cover!C10,"AAAAAB2X9nI=")</f>
        <v>#VALUE!</v>
      </c>
      <c r="DL1" s="17" t="e">
        <f t="shared" ref="DL1:DN1" si="9">AND(Cover!#REF!,"AAAAAB2X9nM=")</f>
        <v>#REF!</v>
      </c>
      <c r="DM1" s="17" t="e">
        <f t="shared" si="9"/>
        <v>#REF!</v>
      </c>
      <c r="DN1" s="17" t="e">
        <f t="shared" si="9"/>
        <v>#REF!</v>
      </c>
      <c r="DO1" s="17" t="e">
        <f>AND(Cover!E9,"AAAAAB2X9nY=")</f>
        <v>#VALUE!</v>
      </c>
      <c r="DP1" s="17" t="e">
        <f>AND(Cover!#REF!,"AAAAAB2X9nc=")</f>
        <v>#REF!</v>
      </c>
      <c r="DQ1" s="17">
        <f>IF(Cover!10:10,"AAAAAB2X9ng=",0)</f>
        <v>0</v>
      </c>
      <c r="DR1" s="17" t="e">
        <f>AND(Cover!A10,"AAAAAB2X9nk=")</f>
        <v>#VALUE!</v>
      </c>
      <c r="DS1" s="17" t="e">
        <f>AND(Cover!#REF!,"AAAAAB2X9no=")</f>
        <v>#REF!</v>
      </c>
      <c r="DT1" s="17" t="e">
        <f>AND(Cover!D10,"AAAAAB2X9ns=")</f>
        <v>#VALUE!</v>
      </c>
      <c r="DU1" s="17" t="e">
        <f>AND(Cover!C11,"AAAAAB2X9nw=")</f>
        <v>#VALUE!</v>
      </c>
      <c r="DV1" s="17" t="e">
        <f t="shared" ref="DV1:DX1" si="10">AND(Cover!#REF!,"AAAAAB2X9n0=")</f>
        <v>#REF!</v>
      </c>
      <c r="DW1" s="17" t="e">
        <f t="shared" si="10"/>
        <v>#REF!</v>
      </c>
      <c r="DX1" s="17" t="e">
        <f t="shared" si="10"/>
        <v>#REF!</v>
      </c>
      <c r="DY1" s="17" t="e">
        <f>AND(Cover!E10,"AAAAAB2X9oA=")</f>
        <v>#VALUE!</v>
      </c>
      <c r="DZ1" s="17" t="e">
        <f>AND(Cover!#REF!,"AAAAAB2X9oE=")</f>
        <v>#REF!</v>
      </c>
      <c r="EA1" s="17">
        <f>IF(Cover!11:11,"AAAAAB2X9oI=",0)</f>
        <v>0</v>
      </c>
      <c r="EB1" s="17" t="e">
        <f>AND(Cover!A11,"AAAAAB2X9oM=")</f>
        <v>#VALUE!</v>
      </c>
      <c r="EC1" s="17" t="e">
        <f>AND(Cover!#REF!,"AAAAAB2X9oQ=")</f>
        <v>#REF!</v>
      </c>
      <c r="ED1" s="17" t="e">
        <f>AND(Cover!D11,"AAAAAB2X9oU=")</f>
        <v>#VALUE!</v>
      </c>
      <c r="EE1" s="17" t="e">
        <f>AND(Cover!C12,"AAAAAB2X9oY=")</f>
        <v>#VALUE!</v>
      </c>
      <c r="EF1" s="17" t="e">
        <f t="shared" ref="EF1:EH1" si="11">AND(Cover!#REF!,"AAAAAB2X9oc=")</f>
        <v>#REF!</v>
      </c>
      <c r="EG1" s="17" t="e">
        <f t="shared" si="11"/>
        <v>#REF!</v>
      </c>
      <c r="EH1" s="17" t="e">
        <f t="shared" si="11"/>
        <v>#REF!</v>
      </c>
      <c r="EI1" s="17" t="e">
        <f>AND(Cover!E11,"AAAAAB2X9oo=")</f>
        <v>#VALUE!</v>
      </c>
      <c r="EJ1" s="17" t="e">
        <f>AND(Cover!#REF!,"AAAAAB2X9os=")</f>
        <v>#REF!</v>
      </c>
      <c r="EK1" s="17">
        <f>IF(Cover!12:12,"AAAAAB2X9ow=",0)</f>
        <v>0</v>
      </c>
      <c r="EL1" s="17">
        <f>IF(Cover!13:13,"AAAAAB2X9o0=",0)</f>
        <v>0</v>
      </c>
      <c r="EM1" s="17">
        <f>IF(Cover!A:A,"AAAAAB2X9o4=",0)</f>
        <v>0</v>
      </c>
      <c r="EN1" s="17">
        <f>IF(Cover!C:C,"AAAAAB2X9o8=",0)</f>
        <v>0</v>
      </c>
      <c r="EO1" s="17">
        <f>IF(Cover!D:D,"AAAAAB2X9pA=",0)</f>
        <v>0</v>
      </c>
      <c r="EP1" s="17" t="e">
        <f t="shared" ref="EP1:ES1" si="12">IF(Cover!#REF!,"AAAAAB2X9pE=",0)</f>
        <v>#REF!</v>
      </c>
      <c r="EQ1" s="17" t="e">
        <f t="shared" si="12"/>
        <v>#REF!</v>
      </c>
      <c r="ER1" s="17" t="e">
        <f t="shared" si="12"/>
        <v>#REF!</v>
      </c>
      <c r="ES1" s="17" t="e">
        <f t="shared" si="12"/>
        <v>#REF!</v>
      </c>
      <c r="ET1" s="17">
        <f>IF(Cover!E:E,"AAAAAB2X9pU=",0)</f>
        <v>0</v>
      </c>
      <c r="EU1" s="17" t="e">
        <f>IF(Cover!#REF!,"AAAAAB2X9pY=",0)</f>
        <v>#REF!</v>
      </c>
      <c r="EV1" s="17" t="e">
        <f>IF(#REF!,"AAAAAB2X9pc=",0)</f>
        <v>#REF!</v>
      </c>
      <c r="EW1" s="17" t="e">
        <f>AND(#REF!,"AAAAAB2X9pg=")</f>
        <v>#REF!</v>
      </c>
      <c r="EX1" s="17" t="e">
        <f>IF(#REF!,"AAAAAB2X9pk=",0)</f>
        <v>#REF!</v>
      </c>
      <c r="EY1" s="17" t="e">
        <f>AND(#REF!,"AAAAAB2X9po=")</f>
        <v>#REF!</v>
      </c>
      <c r="EZ1" s="17" t="e">
        <f>IF(#REF!,"AAAAAB2X9ps=",0)</f>
        <v>#REF!</v>
      </c>
      <c r="FA1" s="17" t="e">
        <f>AND(#REF!,"AAAAAB2X9pw=")</f>
        <v>#REF!</v>
      </c>
      <c r="FB1" s="17" t="e">
        <f>IF(#REF!,"AAAAAB2X9p0=",0)</f>
        <v>#REF!</v>
      </c>
      <c r="FC1" s="17" t="e">
        <f>AND(#REF!,"AAAAAB2X9p4=")</f>
        <v>#REF!</v>
      </c>
      <c r="FD1" s="17" t="e">
        <f>IF(#REF!,"AAAAAB2X9p8=",0)</f>
        <v>#REF!</v>
      </c>
      <c r="FE1" s="17" t="e">
        <f>AND(#REF!,"AAAAAB2X9qA=")</f>
        <v>#REF!</v>
      </c>
      <c r="FF1" s="17" t="e">
        <f>IF(#REF!,"AAAAAB2X9qE=",0)</f>
        <v>#REF!</v>
      </c>
      <c r="FG1" s="17" t="e">
        <f>AND(#REF!,"AAAAAB2X9qI=")</f>
        <v>#REF!</v>
      </c>
      <c r="FH1" s="17" t="e">
        <f>IF(#REF!,"AAAAAB2X9qM=",0)</f>
        <v>#REF!</v>
      </c>
      <c r="FI1" s="17" t="e">
        <f>AND(#REF!,"AAAAAB2X9qQ=")</f>
        <v>#REF!</v>
      </c>
      <c r="FJ1" s="17" t="e">
        <f>IF(#REF!,"AAAAAB2X9qU=",0)</f>
        <v>#REF!</v>
      </c>
      <c r="FK1" s="17" t="e">
        <f>AND(#REF!,"AAAAAB2X9qY=")</f>
        <v>#REF!</v>
      </c>
      <c r="FL1" s="17" t="e">
        <f>IF(#REF!,"AAAAAB2X9qc=",0)</f>
        <v>#REF!</v>
      </c>
      <c r="FM1" s="17" t="e">
        <f>AND(#REF!,"AAAAAB2X9qg=")</f>
        <v>#REF!</v>
      </c>
      <c r="FN1" s="17" t="e">
        <f>IF(#REF!,"AAAAAB2X9qk=",0)</f>
        <v>#REF!</v>
      </c>
      <c r="FO1" s="17" t="e">
        <f>AND(#REF!,"AAAAAB2X9qo=")</f>
        <v>#REF!</v>
      </c>
      <c r="FP1" s="17" t="e">
        <f>IF(#REF!,"AAAAAB2X9qs=",0)</f>
        <v>#REF!</v>
      </c>
      <c r="FQ1" s="17" t="e">
        <f>AND(#REF!,"AAAAAB2X9qw=")</f>
        <v>#REF!</v>
      </c>
      <c r="FR1" s="17" t="e">
        <f>IF(#REF!,"AAAAAB2X9q0=",0)</f>
        <v>#REF!</v>
      </c>
      <c r="FS1" s="17" t="e">
        <f>AND(#REF!,"AAAAAB2X9q4=")</f>
        <v>#REF!</v>
      </c>
      <c r="FT1" s="17" t="e">
        <f>IF(#REF!,"AAAAAB2X9q8=",0)</f>
        <v>#REF!</v>
      </c>
      <c r="FU1" s="17" t="e">
        <f>AND(#REF!,"AAAAAB2X9rA=")</f>
        <v>#REF!</v>
      </c>
      <c r="FV1" s="17" t="e">
        <f>IF(#REF!,"AAAAAB2X9rE=",0)</f>
        <v>#REF!</v>
      </c>
      <c r="FW1" s="17" t="e">
        <f>AND(#REF!,"AAAAAB2X9rI=")</f>
        <v>#REF!</v>
      </c>
      <c r="FX1" s="17" t="e">
        <f>IF(#REF!,"AAAAAB2X9rM=",0)</f>
        <v>#REF!</v>
      </c>
      <c r="FY1" s="17" t="e">
        <f>AND(#REF!,"AAAAAB2X9rQ=")</f>
        <v>#REF!</v>
      </c>
      <c r="FZ1" s="17" t="e">
        <f>IF(#REF!,"AAAAAB2X9rU=",0)</f>
        <v>#REF!</v>
      </c>
      <c r="GA1" s="17" t="e">
        <f>AND(#REF!,"AAAAAB2X9rY=")</f>
        <v>#REF!</v>
      </c>
      <c r="GB1" s="17" t="e">
        <f>IF(#REF!,"AAAAAB2X9rc=",0)</f>
        <v>#REF!</v>
      </c>
      <c r="GC1" s="17" t="e">
        <f>AND(#REF!,"AAAAAB2X9rg=")</f>
        <v>#REF!</v>
      </c>
      <c r="GD1" s="17" t="e">
        <f>IF(#REF!,"AAAAAB2X9rk=",0)</f>
        <v>#REF!</v>
      </c>
      <c r="GE1" s="17" t="e">
        <f>AND(#REF!,"AAAAAB2X9ro=")</f>
        <v>#REF!</v>
      </c>
      <c r="GF1" s="17" t="e">
        <f>IF(#REF!,"AAAAAB2X9rs=",0)</f>
        <v>#REF!</v>
      </c>
      <c r="GG1" s="17" t="e">
        <f>AND(#REF!,"AAAAAB2X9rw=")</f>
        <v>#REF!</v>
      </c>
      <c r="GH1" s="17" t="e">
        <f>IF(#REF!,"AAAAAB2X9r0=",0)</f>
        <v>#REF!</v>
      </c>
      <c r="GI1" s="17" t="e">
        <f>AND(#REF!,"AAAAAB2X9r4=")</f>
        <v>#REF!</v>
      </c>
      <c r="GJ1" s="17" t="e">
        <f>IF(#REF!,"AAAAAB2X9r8=",0)</f>
        <v>#REF!</v>
      </c>
      <c r="GK1" s="17" t="e">
        <f>AND(#REF!,"AAAAAB2X9sA=")</f>
        <v>#REF!</v>
      </c>
      <c r="GL1" s="17" t="e">
        <f>IF(#REF!,"AAAAAB2X9sE=",0)</f>
        <v>#REF!</v>
      </c>
      <c r="GM1" s="17" t="e">
        <f>AND(#REF!,"AAAAAB2X9sI=")</f>
        <v>#REF!</v>
      </c>
      <c r="GN1" s="17" t="e">
        <f>IF(#REF!,"AAAAAB2X9sM=",0)</f>
        <v>#REF!</v>
      </c>
      <c r="GO1" s="17" t="e">
        <f>AND(#REF!,"AAAAAB2X9sQ=")</f>
        <v>#REF!</v>
      </c>
      <c r="GP1" s="17" t="e">
        <f>IF(#REF!,"AAAAAB2X9sU=",0)</f>
        <v>#REF!</v>
      </c>
      <c r="GQ1" s="17" t="e">
        <f>AND(#REF!,"AAAAAB2X9sY=")</f>
        <v>#REF!</v>
      </c>
      <c r="GR1" s="17" t="e">
        <f>IF(#REF!,"AAAAAB2X9sc=",0)</f>
        <v>#REF!</v>
      </c>
      <c r="GS1" s="17" t="e">
        <f>AND(#REF!,"AAAAAB2X9sg=")</f>
        <v>#REF!</v>
      </c>
      <c r="GT1" s="17" t="e">
        <f>IF(#REF!,"AAAAAB2X9sk=",0)</f>
        <v>#REF!</v>
      </c>
      <c r="GU1" s="17" t="e">
        <f>AND(#REF!,"AAAAAB2X9so=")</f>
        <v>#REF!</v>
      </c>
      <c r="GV1" s="17" t="e">
        <f>IF(#REF!,"AAAAAB2X9ss=",0)</f>
        <v>#REF!</v>
      </c>
      <c r="GW1" s="17" t="e">
        <f>AND(#REF!,"AAAAAB2X9sw=")</f>
        <v>#REF!</v>
      </c>
      <c r="GX1" s="17" t="e">
        <f>IF(#REF!,"AAAAAB2X9s0=",0)</f>
        <v>#REF!</v>
      </c>
      <c r="GY1" s="17" t="e">
        <f>AND(#REF!,"AAAAAB2X9s4=")</f>
        <v>#REF!</v>
      </c>
      <c r="GZ1" s="17" t="e">
        <f>IF(#REF!,"AAAAAB2X9s8=",0)</f>
        <v>#REF!</v>
      </c>
      <c r="HA1" s="17" t="e">
        <f>AND(#REF!,"AAAAAB2X9tA=")</f>
        <v>#REF!</v>
      </c>
      <c r="HB1" s="17" t="e">
        <f>IF(#REF!,"AAAAAB2X9tE=",0)</f>
        <v>#REF!</v>
      </c>
      <c r="HC1" s="17" t="e">
        <f>AND(#REF!,"AAAAAB2X9tI=")</f>
        <v>#REF!</v>
      </c>
      <c r="HD1" s="17" t="e">
        <f>IF(#REF!,"AAAAAB2X9tM=",0)</f>
        <v>#REF!</v>
      </c>
      <c r="HE1" s="17" t="e">
        <f>IF(#REF!,"AAAAAB2X9tQ=",0)</f>
        <v>#REF!</v>
      </c>
      <c r="HF1" s="17" t="e">
        <f>IF(#REF!,"AAAAAB2X9tU=",0)</f>
        <v>#REF!</v>
      </c>
      <c r="HG1" s="17" t="e">
        <f>AND(#REF!,"AAAAAB2X9tY=")</f>
        <v>#REF!</v>
      </c>
      <c r="HH1" s="17" t="e">
        <f>AND(#REF!,"AAAAAB2X9tc=")</f>
        <v>#REF!</v>
      </c>
      <c r="HI1" s="17" t="e">
        <f>IF(#REF!,"AAAAAB2X9tg=",0)</f>
        <v>#REF!</v>
      </c>
      <c r="HJ1" s="17" t="e">
        <f>AND(#REF!,"AAAAAB2X9tk=")</f>
        <v>#REF!</v>
      </c>
      <c r="HK1" s="17" t="e">
        <f>AND(#REF!,"AAAAAB2X9to=")</f>
        <v>#REF!</v>
      </c>
      <c r="HL1" s="17" t="e">
        <f>IF(#REF!,"AAAAAB2X9ts=",0)</f>
        <v>#REF!</v>
      </c>
      <c r="HM1" s="17" t="e">
        <f>AND(#REF!,"AAAAAB2X9tw=")</f>
        <v>#REF!</v>
      </c>
      <c r="HN1" s="17" t="e">
        <f>AND(#REF!,"AAAAAB2X9t0=")</f>
        <v>#REF!</v>
      </c>
      <c r="HO1" s="17" t="e">
        <f>IF(#REF!,"AAAAAB2X9t4=",0)</f>
        <v>#REF!</v>
      </c>
      <c r="HP1" s="17" t="e">
        <f>AND(#REF!,"AAAAAB2X9t8=")</f>
        <v>#REF!</v>
      </c>
      <c r="HQ1" s="17" t="e">
        <f>AND(#REF!,"AAAAAB2X9uA=")</f>
        <v>#REF!</v>
      </c>
      <c r="HR1" s="17" t="e">
        <f>IF(#REF!,"AAAAAB2X9uE=",0)</f>
        <v>#REF!</v>
      </c>
      <c r="HS1" s="17" t="e">
        <f>AND(#REF!,"AAAAAB2X9uI=")</f>
        <v>#REF!</v>
      </c>
      <c r="HT1" s="17" t="e">
        <f>AND(#REF!,"AAAAAB2X9uM=")</f>
        <v>#REF!</v>
      </c>
      <c r="HU1" s="17" t="e">
        <f>IF(#REF!,"AAAAAB2X9uQ=",0)</f>
        <v>#REF!</v>
      </c>
      <c r="HV1" s="17" t="e">
        <f>AND(#REF!,"AAAAAB2X9uU=")</f>
        <v>#REF!</v>
      </c>
      <c r="HW1" s="17" t="e">
        <f>AND(#REF!,"AAAAAB2X9uY=")</f>
        <v>#REF!</v>
      </c>
      <c r="HX1" s="17" t="e">
        <f>IF(#REF!,"AAAAAB2X9uc=",0)</f>
        <v>#REF!</v>
      </c>
      <c r="HY1" s="17" t="e">
        <f>AND(#REF!,"AAAAAB2X9ug=")</f>
        <v>#REF!</v>
      </c>
      <c r="HZ1" s="17" t="e">
        <f>AND(#REF!,"AAAAAB2X9uk=")</f>
        <v>#REF!</v>
      </c>
      <c r="IA1" s="17" t="e">
        <f>IF(#REF!,"AAAAAB2X9uo=",0)</f>
        <v>#REF!</v>
      </c>
      <c r="IB1" s="17" t="e">
        <f>AND(#REF!,"AAAAAB2X9us=")</f>
        <v>#REF!</v>
      </c>
      <c r="IC1" s="17" t="e">
        <f>AND(#REF!,"AAAAAB2X9uw=")</f>
        <v>#REF!</v>
      </c>
      <c r="ID1" s="17" t="e">
        <f>IF(#REF!,"AAAAAB2X9u0=",0)</f>
        <v>#REF!</v>
      </c>
      <c r="IE1" s="17" t="e">
        <f>AND(#REF!,"AAAAAB2X9u4=")</f>
        <v>#REF!</v>
      </c>
      <c r="IF1" s="17" t="e">
        <f>AND(#REF!,"AAAAAB2X9u8=")</f>
        <v>#REF!</v>
      </c>
      <c r="IG1" s="17" t="e">
        <f>IF(#REF!,"AAAAAB2X9vA=",0)</f>
        <v>#REF!</v>
      </c>
      <c r="IH1" s="17" t="e">
        <f>AND(#REF!,"AAAAAB2X9vE=")</f>
        <v>#REF!</v>
      </c>
      <c r="II1" s="17" t="e">
        <f>AND(#REF!,"AAAAAB2X9vI=")</f>
        <v>#REF!</v>
      </c>
      <c r="IJ1" s="17" t="e">
        <f>IF(#REF!,"AAAAAB2X9vM=",0)</f>
        <v>#REF!</v>
      </c>
      <c r="IK1" s="17" t="e">
        <f>AND(#REF!,"AAAAAB2X9vQ=")</f>
        <v>#REF!</v>
      </c>
      <c r="IL1" s="17" t="e">
        <f>AND(#REF!,"AAAAAB2X9vU=")</f>
        <v>#REF!</v>
      </c>
      <c r="IM1" s="17" t="e">
        <f>IF(#REF!,"AAAAAB2X9vY=",0)</f>
        <v>#REF!</v>
      </c>
      <c r="IN1" s="17" t="e">
        <f>AND(#REF!,"AAAAAB2X9vc=")</f>
        <v>#REF!</v>
      </c>
      <c r="IO1" s="17" t="e">
        <f>AND(#REF!,"AAAAAB2X9vg=")</f>
        <v>#REF!</v>
      </c>
      <c r="IP1" s="17" t="e">
        <f>IF(#REF!,"AAAAAB2X9vk=",0)</f>
        <v>#REF!</v>
      </c>
      <c r="IQ1" s="17" t="e">
        <f>AND(#REF!,"AAAAAB2X9vo=")</f>
        <v>#REF!</v>
      </c>
      <c r="IR1" s="17" t="e">
        <f>AND(#REF!,"AAAAAB2X9vs=")</f>
        <v>#REF!</v>
      </c>
      <c r="IS1" s="17" t="e">
        <f>IF(#REF!,"AAAAAB2X9vw=",0)</f>
        <v>#REF!</v>
      </c>
      <c r="IT1" s="17" t="e">
        <f>AND(#REF!,"AAAAAB2X9v0=")</f>
        <v>#REF!</v>
      </c>
      <c r="IU1" s="17" t="e">
        <f>AND(#REF!,"AAAAAB2X9v4=")</f>
        <v>#REF!</v>
      </c>
      <c r="IV1" s="17" t="e">
        <f>IF(#REF!,"AAAAAB2X9v8=",0)</f>
        <v>#REF!</v>
      </c>
    </row>
    <row r="2" spans="1:256" ht="13.5" customHeight="1" x14ac:dyDescent="0.25">
      <c r="A2" s="17" t="e">
        <f>AND(#REF!,"AAAAAH/n9wA=")</f>
        <v>#REF!</v>
      </c>
      <c r="B2" s="17" t="e">
        <f>AND(#REF!,"AAAAAH/n9wE=")</f>
        <v>#REF!</v>
      </c>
      <c r="C2" s="17" t="e">
        <f>IF(#REF!,"AAAAAH/n9wI=",0)</f>
        <v>#REF!</v>
      </c>
      <c r="D2" s="17" t="e">
        <f>AND(#REF!,"AAAAAH/n9wM=")</f>
        <v>#REF!</v>
      </c>
      <c r="E2" s="17" t="e">
        <f>AND(#REF!,"AAAAAH/n9wQ=")</f>
        <v>#REF!</v>
      </c>
      <c r="F2" s="17" t="e">
        <f>IF(#REF!,"AAAAAH/n9wU=",0)</f>
        <v>#REF!</v>
      </c>
      <c r="G2" s="17" t="e">
        <f>AND(#REF!,"AAAAAH/n9wY=")</f>
        <v>#REF!</v>
      </c>
      <c r="H2" s="17" t="e">
        <f>AND(#REF!,"AAAAAH/n9wc=")</f>
        <v>#REF!</v>
      </c>
      <c r="I2" s="17" t="e">
        <f>IF(#REF!,"AAAAAH/n9wg=",0)</f>
        <v>#REF!</v>
      </c>
      <c r="J2" s="17" t="e">
        <f>AND(#REF!,"AAAAAH/n9wk=")</f>
        <v>#REF!</v>
      </c>
      <c r="K2" s="17" t="e">
        <f>AND(#REF!,"AAAAAH/n9wo=")</f>
        <v>#REF!</v>
      </c>
      <c r="L2" s="17" t="e">
        <f>IF(#REF!,"AAAAAH/n9ws=",0)</f>
        <v>#REF!</v>
      </c>
      <c r="M2" s="17" t="e">
        <f>AND(#REF!,"AAAAAH/n9ww=")</f>
        <v>#REF!</v>
      </c>
      <c r="N2" s="17" t="e">
        <f>AND(#REF!,"AAAAAH/n9w0=")</f>
        <v>#REF!</v>
      </c>
      <c r="O2" s="17" t="e">
        <f>IF(#REF!,"AAAAAH/n9w4=",0)</f>
        <v>#REF!</v>
      </c>
      <c r="P2" s="17" t="e">
        <f>AND(#REF!,"AAAAAH/n9w8=")</f>
        <v>#REF!</v>
      </c>
      <c r="Q2" s="17" t="e">
        <f>AND(#REF!,"AAAAAH/n9xA=")</f>
        <v>#REF!</v>
      </c>
      <c r="R2" s="17" t="e">
        <f>IF(#REF!,"AAAAAH/n9xE=",0)</f>
        <v>#REF!</v>
      </c>
      <c r="S2" s="17" t="e">
        <f>AND(#REF!,"AAAAAH/n9xI=")</f>
        <v>#REF!</v>
      </c>
      <c r="T2" s="17" t="e">
        <f>AND(#REF!,"AAAAAH/n9xM=")</f>
        <v>#REF!</v>
      </c>
      <c r="U2" s="17" t="e">
        <f>IF(#REF!,"AAAAAH/n9xQ=",0)</f>
        <v>#REF!</v>
      </c>
      <c r="V2" s="17" t="e">
        <f>AND(#REF!,"AAAAAH/n9xU=")</f>
        <v>#REF!</v>
      </c>
      <c r="W2" s="17" t="e">
        <f>AND(#REF!,"AAAAAH/n9xY=")</f>
        <v>#REF!</v>
      </c>
      <c r="X2" s="17" t="e">
        <f>IF(#REF!,"AAAAAH/n9xc=",0)</f>
        <v>#REF!</v>
      </c>
      <c r="Y2" s="17" t="e">
        <f>AND(#REF!,"AAAAAH/n9xg=")</f>
        <v>#REF!</v>
      </c>
      <c r="Z2" s="17" t="e">
        <f>AND(#REF!,"AAAAAH/n9xk=")</f>
        <v>#REF!</v>
      </c>
      <c r="AA2" s="17" t="e">
        <f>IF(#REF!,"AAAAAH/n9xo=",0)</f>
        <v>#REF!</v>
      </c>
      <c r="AB2" s="17" t="e">
        <f>AND(#REF!,"AAAAAH/n9xs=")</f>
        <v>#REF!</v>
      </c>
      <c r="AC2" s="17" t="e">
        <f>AND(#REF!,"AAAAAH/n9xw=")</f>
        <v>#REF!</v>
      </c>
      <c r="AD2" s="17" t="e">
        <f>IF(#REF!,"AAAAAH/n9x0=",0)</f>
        <v>#REF!</v>
      </c>
      <c r="AE2" s="17" t="e">
        <f>AND(#REF!,"AAAAAH/n9x4=")</f>
        <v>#REF!</v>
      </c>
      <c r="AF2" s="17" t="e">
        <f>AND(#REF!,"AAAAAH/n9x8=")</f>
        <v>#REF!</v>
      </c>
      <c r="AG2" s="17" t="e">
        <f>IF(#REF!,"AAAAAH/n9yA=",0)</f>
        <v>#REF!</v>
      </c>
      <c r="AH2" s="17" t="e">
        <f>AND(#REF!,"AAAAAH/n9yE=")</f>
        <v>#REF!</v>
      </c>
      <c r="AI2" s="17" t="e">
        <f>AND(#REF!,"AAAAAH/n9yI=")</f>
        <v>#REF!</v>
      </c>
      <c r="AJ2" s="17" t="e">
        <f>IF(#REF!,"AAAAAH/n9yM=",0)</f>
        <v>#REF!</v>
      </c>
      <c r="AK2" s="17" t="e">
        <f>AND(#REF!,"AAAAAH/n9yQ=")</f>
        <v>#REF!</v>
      </c>
      <c r="AL2" s="17" t="e">
        <f>AND(#REF!,"AAAAAH/n9yU=")</f>
        <v>#REF!</v>
      </c>
      <c r="AM2" s="17" t="e">
        <f>IF(#REF!,"AAAAAH/n9yY=",0)</f>
        <v>#REF!</v>
      </c>
      <c r="AN2" s="17" t="e">
        <f>AND(#REF!,"AAAAAH/n9yc=")</f>
        <v>#REF!</v>
      </c>
      <c r="AO2" s="17" t="e">
        <f>AND(#REF!,"AAAAAH/n9yg=")</f>
        <v>#REF!</v>
      </c>
      <c r="AP2" s="17" t="e">
        <f>IF(#REF!,"AAAAAH/n9yk=",0)</f>
        <v>#REF!</v>
      </c>
      <c r="AQ2" s="17" t="e">
        <f>AND(#REF!,"AAAAAH/n9yo=")</f>
        <v>#REF!</v>
      </c>
      <c r="AR2" s="17" t="e">
        <f>AND(#REF!,"AAAAAH/n9ys=")</f>
        <v>#REF!</v>
      </c>
      <c r="AS2" s="17" t="e">
        <f>IF(#REF!,"AAAAAH/n9yw=",0)</f>
        <v>#REF!</v>
      </c>
      <c r="AT2" s="17" t="e">
        <f>AND(#REF!,"AAAAAH/n9y0=")</f>
        <v>#REF!</v>
      </c>
      <c r="AU2" s="17" t="e">
        <f>AND(#REF!,"AAAAAH/n9y4=")</f>
        <v>#REF!</v>
      </c>
      <c r="AV2" s="17" t="e">
        <f>IF(#REF!,"AAAAAH/n9y8=",0)</f>
        <v>#REF!</v>
      </c>
      <c r="AW2" s="17" t="e">
        <f>AND(#REF!,"AAAAAH/n9zA=")</f>
        <v>#REF!</v>
      </c>
      <c r="AX2" s="17" t="e">
        <f>AND(#REF!,"AAAAAH/n9zE=")</f>
        <v>#REF!</v>
      </c>
      <c r="AY2" s="17" t="e">
        <f>IF(#REF!,"AAAAAH/n9zI=",0)</f>
        <v>#REF!</v>
      </c>
      <c r="AZ2" s="17" t="e">
        <f>AND(#REF!,"AAAAAH/n9zM=")</f>
        <v>#REF!</v>
      </c>
      <c r="BA2" s="17" t="e">
        <f>AND(#REF!,"AAAAAH/n9zQ=")</f>
        <v>#REF!</v>
      </c>
      <c r="BB2" s="17" t="e">
        <f>IF(#REF!,"AAAAAH/n9zU=",0)</f>
        <v>#REF!</v>
      </c>
      <c r="BC2" s="17" t="e">
        <f>AND(#REF!,"AAAAAH/n9zY=")</f>
        <v>#REF!</v>
      </c>
      <c r="BD2" s="17" t="e">
        <f>AND(#REF!,"AAAAAH/n9zc=")</f>
        <v>#REF!</v>
      </c>
      <c r="BE2" s="17" t="e">
        <f>IF(#REF!,"AAAAAH/n9zg=",0)</f>
        <v>#REF!</v>
      </c>
      <c r="BF2" s="17" t="e">
        <f>AND(#REF!,"AAAAAH/n9zk=")</f>
        <v>#REF!</v>
      </c>
      <c r="BG2" s="17" t="e">
        <f>AND(#REF!,"AAAAAH/n9zo=")</f>
        <v>#REF!</v>
      </c>
      <c r="BH2" s="17" t="e">
        <f>IF(#REF!,"AAAAAH/n9zs=",0)</f>
        <v>#REF!</v>
      </c>
      <c r="BI2" s="17" t="e">
        <f>AND(#REF!,"AAAAAH/n9zw=")</f>
        <v>#REF!</v>
      </c>
      <c r="BJ2" s="17" t="e">
        <f>AND(#REF!,"AAAAAH/n9z0=")</f>
        <v>#REF!</v>
      </c>
      <c r="BK2" s="17" t="e">
        <f>IF(#REF!,"AAAAAH/n9z4=",0)</f>
        <v>#REF!</v>
      </c>
      <c r="BL2" s="17" t="e">
        <f>AND(#REF!,"AAAAAH/n9z8=")</f>
        <v>#REF!</v>
      </c>
      <c r="BM2" s="17" t="e">
        <f>AND(#REF!,"AAAAAH/n90A=")</f>
        <v>#REF!</v>
      </c>
      <c r="BN2" s="17" t="e">
        <f>IF(#REF!,"AAAAAH/n90E=",0)</f>
        <v>#REF!</v>
      </c>
      <c r="BO2" s="17" t="e">
        <f>AND(#REF!,"AAAAAH/n90I=")</f>
        <v>#REF!</v>
      </c>
      <c r="BP2" s="17" t="e">
        <f>AND(#REF!,"AAAAAH/n90M=")</f>
        <v>#REF!</v>
      </c>
      <c r="BQ2" s="17" t="e">
        <f>IF(#REF!,"AAAAAH/n90Q=",0)</f>
        <v>#REF!</v>
      </c>
      <c r="BR2" s="17" t="e">
        <f>AND(#REF!,"AAAAAH/n90U=")</f>
        <v>#REF!</v>
      </c>
      <c r="BS2" s="17" t="e">
        <f>AND(#REF!,"AAAAAH/n90Y=")</f>
        <v>#REF!</v>
      </c>
      <c r="BT2" s="17" t="e">
        <f>IF(#REF!,"AAAAAH/n90c=",0)</f>
        <v>#REF!</v>
      </c>
      <c r="BU2" s="17" t="e">
        <f>AND(#REF!,"AAAAAH/n90g=")</f>
        <v>#REF!</v>
      </c>
      <c r="BV2" s="17" t="e">
        <f>AND(#REF!,"AAAAAH/n90k=")</f>
        <v>#REF!</v>
      </c>
      <c r="BW2" s="17" t="e">
        <f>IF(#REF!,"AAAAAH/n90o=",0)</f>
        <v>#REF!</v>
      </c>
      <c r="BX2" s="17" t="e">
        <f>AND(#REF!,"AAAAAH/n90s=")</f>
        <v>#REF!</v>
      </c>
      <c r="BY2" s="17" t="e">
        <f>AND(#REF!,"AAAAAH/n90w=")</f>
        <v>#REF!</v>
      </c>
      <c r="BZ2" s="17" t="e">
        <f>IF(#REF!,"AAAAAH/n900=",0)</f>
        <v>#REF!</v>
      </c>
      <c r="CA2" s="17" t="e">
        <f>AND(#REF!,"AAAAAH/n904=")</f>
        <v>#REF!</v>
      </c>
      <c r="CB2" s="17" t="e">
        <f>AND(#REF!,"AAAAAH/n908=")</f>
        <v>#REF!</v>
      </c>
      <c r="CC2" s="17" t="e">
        <f>IF(#REF!,"AAAAAH/n91A=",0)</f>
        <v>#REF!</v>
      </c>
      <c r="CD2" s="17" t="e">
        <f>AND(#REF!,"AAAAAH/n91E=")</f>
        <v>#REF!</v>
      </c>
      <c r="CE2" s="17" t="e">
        <f>AND(#REF!,"AAAAAH/n91I=")</f>
        <v>#REF!</v>
      </c>
      <c r="CF2" s="17" t="e">
        <f>IF(#REF!,"AAAAAH/n91M=",0)</f>
        <v>#REF!</v>
      </c>
      <c r="CG2" s="17" t="e">
        <f>AND(#REF!,"AAAAAH/n91Q=")</f>
        <v>#REF!</v>
      </c>
      <c r="CH2" s="17" t="e">
        <f>AND(#REF!,"AAAAAH/n91U=")</f>
        <v>#REF!</v>
      </c>
      <c r="CI2" s="17" t="e">
        <f>IF(#REF!,"AAAAAH/n91Y=",0)</f>
        <v>#REF!</v>
      </c>
      <c r="CJ2" s="17" t="e">
        <f>AND(#REF!,"AAAAAH/n91c=")</f>
        <v>#REF!</v>
      </c>
      <c r="CK2" s="17" t="e">
        <f>AND(#REF!,"AAAAAH/n91g=")</f>
        <v>#REF!</v>
      </c>
      <c r="CL2" s="17" t="e">
        <f>IF(#REF!,"AAAAAH/n91k=",0)</f>
        <v>#REF!</v>
      </c>
      <c r="CM2" s="17" t="e">
        <f>AND(#REF!,"AAAAAH/n91o=")</f>
        <v>#REF!</v>
      </c>
      <c r="CN2" s="17" t="e">
        <f>AND(#REF!,"AAAAAH/n91s=")</f>
        <v>#REF!</v>
      </c>
      <c r="CO2" s="17" t="e">
        <f>IF(#REF!,"AAAAAH/n91w=",0)</f>
        <v>#REF!</v>
      </c>
      <c r="CP2" s="17" t="e">
        <f>IF(#REF!,"AAAAAH/n910=",0)</f>
        <v>#REF!</v>
      </c>
      <c r="CQ2" s="17" t="e">
        <f>IF(#REF!,"AAAAAH/n914=",0)</f>
        <v>#REF!</v>
      </c>
      <c r="CR2" s="17" t="e">
        <f>IF(#REF!,"AAAAAH/n918=",0)</f>
        <v>#REF!</v>
      </c>
      <c r="CS2" s="17" t="e">
        <f>AND(#REF!,"AAAAAH/n92A=")</f>
        <v>#REF!</v>
      </c>
      <c r="CT2" s="17" t="e">
        <f>AND(#REF!,"AAAAAH/n92E=")</f>
        <v>#REF!</v>
      </c>
      <c r="CU2" s="17" t="e">
        <f>AND(#REF!,"AAAAAH/n92I=")</f>
        <v>#REF!</v>
      </c>
      <c r="CV2" s="17" t="e">
        <f>AND(#REF!,"AAAAAH/n92M=")</f>
        <v>#REF!</v>
      </c>
      <c r="CW2" s="17" t="e">
        <f>AND(#REF!,"AAAAAH/n92Q=")</f>
        <v>#REF!</v>
      </c>
      <c r="CX2" s="17" t="e">
        <f>IF(#REF!,"AAAAAH/n92U=",0)</f>
        <v>#REF!</v>
      </c>
      <c r="CY2" s="17" t="e">
        <f>AND(#REF!,"AAAAAH/n92Y=")</f>
        <v>#REF!</v>
      </c>
      <c r="CZ2" s="17" t="e">
        <f>AND(#REF!,"AAAAAH/n92c=")</f>
        <v>#REF!</v>
      </c>
      <c r="DA2" s="17" t="e">
        <f>AND(#REF!,"AAAAAH/n92g=")</f>
        <v>#REF!</v>
      </c>
      <c r="DB2" s="17" t="e">
        <f>AND(#REF!,"AAAAAH/n92k=")</f>
        <v>#REF!</v>
      </c>
      <c r="DC2" s="17" t="e">
        <f>IF(#REF!,"AAAAAH/n92o=",0)</f>
        <v>#REF!</v>
      </c>
      <c r="DD2" s="17" t="e">
        <f>AND(#REF!,"AAAAAH/n92s=")</f>
        <v>#REF!</v>
      </c>
      <c r="DE2" s="17" t="e">
        <f>AND(#REF!,"AAAAAH/n92w=")</f>
        <v>#REF!</v>
      </c>
      <c r="DF2" s="17" t="e">
        <f>AND(#REF!,"AAAAAH/n920=")</f>
        <v>#REF!</v>
      </c>
      <c r="DG2" s="17" t="e">
        <f>AND(#REF!,"AAAAAH/n924=")</f>
        <v>#REF!</v>
      </c>
      <c r="DH2" s="17" t="e">
        <f>IF(#REF!,"AAAAAH/n928=",0)</f>
        <v>#REF!</v>
      </c>
      <c r="DI2" s="17" t="e">
        <f>AND(#REF!,"AAAAAH/n93A=")</f>
        <v>#REF!</v>
      </c>
      <c r="DJ2" s="17" t="e">
        <f>AND(#REF!,"AAAAAH/n93E=")</f>
        <v>#REF!</v>
      </c>
      <c r="DK2" s="17" t="e">
        <f>AND(#REF!,"AAAAAH/n93I=")</f>
        <v>#REF!</v>
      </c>
      <c r="DL2" s="17" t="e">
        <f>AND(#REF!,"AAAAAH/n93M=")</f>
        <v>#REF!</v>
      </c>
      <c r="DM2" s="17" t="e">
        <f>IF(#REF!,"AAAAAH/n93Q=",0)</f>
        <v>#REF!</v>
      </c>
      <c r="DN2" s="17" t="e">
        <f>AND(#REF!,"AAAAAH/n93U=")</f>
        <v>#REF!</v>
      </c>
      <c r="DO2" s="17" t="e">
        <f>AND(#REF!,"AAAAAH/n93Y=")</f>
        <v>#REF!</v>
      </c>
      <c r="DP2" s="17" t="e">
        <f>AND(#REF!,"AAAAAH/n93c=")</f>
        <v>#REF!</v>
      </c>
      <c r="DQ2" s="17" t="e">
        <f>AND(#REF!,"AAAAAH/n93g=")</f>
        <v>#REF!</v>
      </c>
      <c r="DR2" s="17" t="e">
        <f>IF(#REF!,"AAAAAH/n93k=",0)</f>
        <v>#REF!</v>
      </c>
      <c r="DS2" s="17" t="e">
        <f>AND(#REF!,"AAAAAH/n93o=")</f>
        <v>#REF!</v>
      </c>
      <c r="DT2" s="17" t="e">
        <f>AND(#REF!,"AAAAAH/n93s=")</f>
        <v>#REF!</v>
      </c>
      <c r="DU2" s="17" t="e">
        <f>AND(#REF!,"AAAAAH/n93w=")</f>
        <v>#REF!</v>
      </c>
      <c r="DV2" s="17" t="e">
        <f>AND(#REF!,"AAAAAH/n930=")</f>
        <v>#REF!</v>
      </c>
      <c r="DW2" s="17" t="e">
        <f>IF(#REF!,"AAAAAH/n934=",0)</f>
        <v>#REF!</v>
      </c>
      <c r="DX2" s="17" t="e">
        <f>AND(#REF!,"AAAAAH/n938=")</f>
        <v>#REF!</v>
      </c>
      <c r="DY2" s="17" t="e">
        <f>AND(#REF!,"AAAAAH/n94A=")</f>
        <v>#REF!</v>
      </c>
      <c r="DZ2" s="17" t="e">
        <f>AND(#REF!,"AAAAAH/n94E=")</f>
        <v>#REF!</v>
      </c>
      <c r="EA2" s="17" t="e">
        <f>AND(#REF!,"AAAAAH/n94I=")</f>
        <v>#REF!</v>
      </c>
      <c r="EB2" s="17" t="e">
        <f>IF(#REF!,"AAAAAH/n94M=",0)</f>
        <v>#REF!</v>
      </c>
      <c r="EC2" s="17" t="e">
        <f>AND(#REF!,"AAAAAH/n94Q=")</f>
        <v>#REF!</v>
      </c>
      <c r="ED2" s="17" t="e">
        <f>AND(#REF!,"AAAAAH/n94U=")</f>
        <v>#REF!</v>
      </c>
      <c r="EE2" s="17" t="e">
        <f>AND(#REF!,"AAAAAH/n94Y=")</f>
        <v>#REF!</v>
      </c>
      <c r="EF2" s="17" t="e">
        <f>AND(#REF!,"AAAAAH/n94c=")</f>
        <v>#REF!</v>
      </c>
      <c r="EG2" s="17" t="e">
        <f>IF(#REF!,"AAAAAH/n94g=",0)</f>
        <v>#REF!</v>
      </c>
      <c r="EH2" s="17" t="e">
        <f>AND(#REF!,"AAAAAH/n94k=")</f>
        <v>#REF!</v>
      </c>
      <c r="EI2" s="17" t="e">
        <f>AND(#REF!,"AAAAAH/n94o=")</f>
        <v>#REF!</v>
      </c>
      <c r="EJ2" s="17" t="e">
        <f>AND(#REF!,"AAAAAH/n94s=")</f>
        <v>#REF!</v>
      </c>
      <c r="EK2" s="17" t="e">
        <f>AND(#REF!,"AAAAAH/n94w=")</f>
        <v>#REF!</v>
      </c>
      <c r="EL2" s="17" t="e">
        <f>IF(#REF!,"AAAAAH/n940=",0)</f>
        <v>#REF!</v>
      </c>
      <c r="EM2" s="17" t="e">
        <f>AND(#REF!,"AAAAAH/n944=")</f>
        <v>#REF!</v>
      </c>
      <c r="EN2" s="17" t="e">
        <f>AND(#REF!,"AAAAAH/n948=")</f>
        <v>#REF!</v>
      </c>
      <c r="EO2" s="17" t="e">
        <f>AND(#REF!,"AAAAAH/n95A=")</f>
        <v>#REF!</v>
      </c>
      <c r="EP2" s="17" t="e">
        <f>AND(#REF!,"AAAAAH/n95E=")</f>
        <v>#REF!</v>
      </c>
      <c r="EQ2" s="17" t="e">
        <f>IF(#REF!,"AAAAAH/n95I=",0)</f>
        <v>#REF!</v>
      </c>
      <c r="ER2" s="17" t="e">
        <f>AND(#REF!,"AAAAAH/n95M=")</f>
        <v>#REF!</v>
      </c>
      <c r="ES2" s="17" t="e">
        <f>AND(#REF!,"AAAAAH/n95Q=")</f>
        <v>#REF!</v>
      </c>
      <c r="ET2" s="17" t="e">
        <f>AND(#REF!,"AAAAAH/n95U=")</f>
        <v>#REF!</v>
      </c>
      <c r="EU2" s="17" t="e">
        <f>AND(#REF!,"AAAAAH/n95Y=")</f>
        <v>#REF!</v>
      </c>
      <c r="EV2" s="17" t="e">
        <f>IF(#REF!,"AAAAAH/n95c=",0)</f>
        <v>#REF!</v>
      </c>
      <c r="EW2" s="17" t="e">
        <f>AND(#REF!,"AAAAAH/n95g=")</f>
        <v>#REF!</v>
      </c>
      <c r="EX2" s="17" t="e">
        <f>AND(#REF!,"AAAAAH/n95k=")</f>
        <v>#REF!</v>
      </c>
      <c r="EY2" s="17" t="e">
        <f>AND(#REF!,"AAAAAH/n95o=")</f>
        <v>#REF!</v>
      </c>
      <c r="EZ2" s="17" t="e">
        <f>AND(#REF!,"AAAAAH/n95s=")</f>
        <v>#REF!</v>
      </c>
      <c r="FA2" s="17" t="e">
        <f>IF(#REF!,"AAAAAH/n95w=",0)</f>
        <v>#REF!</v>
      </c>
      <c r="FB2" s="17" t="e">
        <f>AND(#REF!,"AAAAAH/n950=")</f>
        <v>#REF!</v>
      </c>
      <c r="FC2" s="17" t="e">
        <f>AND(#REF!,"AAAAAH/n954=")</f>
        <v>#REF!</v>
      </c>
      <c r="FD2" s="17" t="e">
        <f>AND(#REF!,"AAAAAH/n958=")</f>
        <v>#REF!</v>
      </c>
      <c r="FE2" s="17" t="e">
        <f>AND(#REF!,"AAAAAH/n96A=")</f>
        <v>#REF!</v>
      </c>
      <c r="FF2" s="17" t="e">
        <f>IF(#REF!,"AAAAAH/n96E=",0)</f>
        <v>#REF!</v>
      </c>
      <c r="FG2" s="17" t="e">
        <f>AND(#REF!,"AAAAAH/n96I=")</f>
        <v>#REF!</v>
      </c>
      <c r="FH2" s="17" t="e">
        <f>AND(#REF!,"AAAAAH/n96M=")</f>
        <v>#REF!</v>
      </c>
      <c r="FI2" s="17" t="e">
        <f>AND(#REF!,"AAAAAH/n96Q=")</f>
        <v>#REF!</v>
      </c>
      <c r="FJ2" s="17" t="e">
        <f>AND(#REF!,"AAAAAH/n96U=")</f>
        <v>#REF!</v>
      </c>
      <c r="FK2" s="17" t="e">
        <f>IF(#REF!,"AAAAAH/n96Y=",0)</f>
        <v>#REF!</v>
      </c>
      <c r="FL2" s="17" t="e">
        <f>AND(#REF!,"AAAAAH/n96c=")</f>
        <v>#REF!</v>
      </c>
      <c r="FM2" s="17" t="e">
        <f>AND(#REF!,"AAAAAH/n96g=")</f>
        <v>#REF!</v>
      </c>
      <c r="FN2" s="17" t="e">
        <f>AND(#REF!,"AAAAAH/n96k=")</f>
        <v>#REF!</v>
      </c>
      <c r="FO2" s="17" t="e">
        <f>AND(#REF!,"AAAAAH/n96o=")</f>
        <v>#REF!</v>
      </c>
      <c r="FP2" s="17" t="e">
        <f>IF(#REF!,"AAAAAH/n96s=",0)</f>
        <v>#REF!</v>
      </c>
      <c r="FQ2" s="17" t="e">
        <f>AND(#REF!,"AAAAAH/n96w=")</f>
        <v>#REF!</v>
      </c>
      <c r="FR2" s="17" t="e">
        <f>AND(#REF!,"AAAAAH/n960=")</f>
        <v>#REF!</v>
      </c>
      <c r="FS2" s="17" t="e">
        <f>AND(#REF!,"AAAAAH/n964=")</f>
        <v>#REF!</v>
      </c>
      <c r="FT2" s="17" t="e">
        <f>AND(#REF!,"AAAAAH/n968=")</f>
        <v>#REF!</v>
      </c>
      <c r="FU2" s="17" t="e">
        <f>IF(#REF!,"AAAAAH/n97A=",0)</f>
        <v>#REF!</v>
      </c>
      <c r="FV2" s="17" t="e">
        <f>AND(#REF!,"AAAAAH/n97E=")</f>
        <v>#REF!</v>
      </c>
      <c r="FW2" s="17" t="e">
        <f>AND(#REF!,"AAAAAH/n97I=")</f>
        <v>#REF!</v>
      </c>
      <c r="FX2" s="17" t="e">
        <f>AND(#REF!,"AAAAAH/n97M=")</f>
        <v>#REF!</v>
      </c>
      <c r="FY2" s="17" t="e">
        <f>AND(#REF!,"AAAAAH/n97Q=")</f>
        <v>#REF!</v>
      </c>
      <c r="FZ2" s="17" t="e">
        <f>IF(#REF!,"AAAAAH/n97U=",0)</f>
        <v>#REF!</v>
      </c>
      <c r="GA2" s="17" t="e">
        <f>AND(#REF!,"AAAAAH/n97Y=")</f>
        <v>#REF!</v>
      </c>
      <c r="GB2" s="17" t="e">
        <f>AND(#REF!,"AAAAAH/n97c=")</f>
        <v>#REF!</v>
      </c>
      <c r="GC2" s="17" t="e">
        <f>AND(#REF!,"AAAAAH/n97g=")</f>
        <v>#REF!</v>
      </c>
      <c r="GD2" s="17" t="e">
        <f>AND(#REF!,"AAAAAH/n97k=")</f>
        <v>#REF!</v>
      </c>
      <c r="GE2" s="17" t="e">
        <f>IF(#REF!,"AAAAAH/n97o=",0)</f>
        <v>#REF!</v>
      </c>
      <c r="GF2" s="17" t="e">
        <f>AND(#REF!,"AAAAAH/n97s=")</f>
        <v>#REF!</v>
      </c>
      <c r="GG2" s="17" t="e">
        <f>AND(#REF!,"AAAAAH/n97w=")</f>
        <v>#REF!</v>
      </c>
      <c r="GH2" s="17" t="e">
        <f>AND(#REF!,"AAAAAH/n970=")</f>
        <v>#REF!</v>
      </c>
      <c r="GI2" s="17" t="e">
        <f>AND(#REF!,"AAAAAH/n974=")</f>
        <v>#REF!</v>
      </c>
      <c r="GJ2" s="17" t="e">
        <f>IF(#REF!,"AAAAAH/n978=",0)</f>
        <v>#REF!</v>
      </c>
      <c r="GK2" s="17" t="e">
        <f>AND(#REF!,"AAAAAH/n98A=")</f>
        <v>#REF!</v>
      </c>
      <c r="GL2" s="17" t="e">
        <f>AND(#REF!,"AAAAAH/n98E=")</f>
        <v>#REF!</v>
      </c>
      <c r="GM2" s="17" t="e">
        <f>AND(#REF!,"AAAAAH/n98I=")</f>
        <v>#REF!</v>
      </c>
      <c r="GN2" s="17" t="e">
        <f>AND(#REF!,"AAAAAH/n98M=")</f>
        <v>#REF!</v>
      </c>
      <c r="GO2" s="17" t="e">
        <f>IF(#REF!,"AAAAAH/n98Q=",0)</f>
        <v>#REF!</v>
      </c>
      <c r="GP2" s="17" t="e">
        <f>AND(#REF!,"AAAAAH/n98U=")</f>
        <v>#REF!</v>
      </c>
      <c r="GQ2" s="17" t="e">
        <f>AND(#REF!,"AAAAAH/n98Y=")</f>
        <v>#REF!</v>
      </c>
      <c r="GR2" s="17" t="e">
        <f>AND(#REF!,"AAAAAH/n98c=")</f>
        <v>#REF!</v>
      </c>
      <c r="GS2" s="17" t="e">
        <f>AND(#REF!,"AAAAAH/n98g=")</f>
        <v>#REF!</v>
      </c>
      <c r="GT2" s="17" t="e">
        <f>IF(#REF!,"AAAAAH/n98k=",0)</f>
        <v>#REF!</v>
      </c>
      <c r="GU2" s="17" t="e">
        <f>AND(#REF!,"AAAAAH/n98o=")</f>
        <v>#REF!</v>
      </c>
      <c r="GV2" s="17" t="e">
        <f>AND(#REF!,"AAAAAH/n98s=")</f>
        <v>#REF!</v>
      </c>
      <c r="GW2" s="17" t="e">
        <f>AND(#REF!,"AAAAAH/n98w=")</f>
        <v>#REF!</v>
      </c>
      <c r="GX2" s="17" t="e">
        <f>AND(#REF!,"AAAAAH/n980=")</f>
        <v>#REF!</v>
      </c>
      <c r="GY2" s="17" t="e">
        <f>IF(#REF!,"AAAAAH/n984=",0)</f>
        <v>#REF!</v>
      </c>
      <c r="GZ2" s="17" t="e">
        <f>AND(#REF!,"AAAAAH/n988=")</f>
        <v>#REF!</v>
      </c>
      <c r="HA2" s="17" t="e">
        <f>AND(#REF!,"AAAAAH/n99A=")</f>
        <v>#REF!</v>
      </c>
      <c r="HB2" s="17" t="e">
        <f>AND(#REF!,"AAAAAH/n99E=")</f>
        <v>#REF!</v>
      </c>
      <c r="HC2" s="17" t="e">
        <f>AND(#REF!,"AAAAAH/n99I=")</f>
        <v>#REF!</v>
      </c>
      <c r="HD2" s="17" t="e">
        <f>IF(#REF!,"AAAAAH/n99M=",0)</f>
        <v>#REF!</v>
      </c>
      <c r="HE2" s="17" t="e">
        <f>AND(#REF!,"AAAAAH/n99Q=")</f>
        <v>#REF!</v>
      </c>
      <c r="HF2" s="17" t="e">
        <f>AND(#REF!,"AAAAAH/n99U=")</f>
        <v>#REF!</v>
      </c>
      <c r="HG2" s="17" t="e">
        <f>AND(#REF!,"AAAAAH/n99Y=")</f>
        <v>#REF!</v>
      </c>
      <c r="HH2" s="17" t="e">
        <f>AND(#REF!,"AAAAAH/n99c=")</f>
        <v>#REF!</v>
      </c>
      <c r="HI2" s="17" t="e">
        <f>IF(#REF!,"AAAAAH/n99g=",0)</f>
        <v>#REF!</v>
      </c>
      <c r="HJ2" s="17" t="e">
        <f>AND(#REF!,"AAAAAH/n99k=")</f>
        <v>#REF!</v>
      </c>
      <c r="HK2" s="17" t="e">
        <f>AND(#REF!,"AAAAAH/n99o=")</f>
        <v>#REF!</v>
      </c>
      <c r="HL2" s="17" t="e">
        <f>AND(#REF!,"AAAAAH/n99s=")</f>
        <v>#REF!</v>
      </c>
      <c r="HM2" s="17" t="e">
        <f>AND(#REF!,"AAAAAH/n99w=")</f>
        <v>#REF!</v>
      </c>
      <c r="HN2" s="17" t="e">
        <f>IF(#REF!,"AAAAAH/n990=",0)</f>
        <v>#REF!</v>
      </c>
      <c r="HO2" s="17" t="e">
        <f>AND(#REF!,"AAAAAH/n994=")</f>
        <v>#REF!</v>
      </c>
      <c r="HP2" s="17" t="e">
        <f>AND(#REF!,"AAAAAH/n998=")</f>
        <v>#REF!</v>
      </c>
      <c r="HQ2" s="17" t="e">
        <f>AND(#REF!,"AAAAAH/n9+A=")</f>
        <v>#REF!</v>
      </c>
      <c r="HR2" s="17" t="e">
        <f>AND(#REF!,"AAAAAH/n9+E=")</f>
        <v>#REF!</v>
      </c>
      <c r="HS2" s="17" t="e">
        <f>IF(#REF!,"AAAAAH/n9+I=",0)</f>
        <v>#REF!</v>
      </c>
      <c r="HT2" s="17" t="e">
        <f>AND(#REF!,"AAAAAH/n9+M=")</f>
        <v>#REF!</v>
      </c>
      <c r="HU2" s="17" t="e">
        <f>AND(#REF!,"AAAAAH/n9+Q=")</f>
        <v>#REF!</v>
      </c>
      <c r="HV2" s="17" t="e">
        <f>AND(#REF!,"AAAAAH/n9+U=")</f>
        <v>#REF!</v>
      </c>
      <c r="HW2" s="17" t="e">
        <f>AND(#REF!,"AAAAAH/n9+Y=")</f>
        <v>#REF!</v>
      </c>
      <c r="HX2" s="17" t="e">
        <f>IF(#REF!,"AAAAAH/n9+c=",0)</f>
        <v>#REF!</v>
      </c>
      <c r="HY2" s="17" t="e">
        <f>AND(#REF!,"AAAAAH/n9+g=")</f>
        <v>#REF!</v>
      </c>
      <c r="HZ2" s="17" t="e">
        <f>AND(#REF!,"AAAAAH/n9+k=")</f>
        <v>#REF!</v>
      </c>
      <c r="IA2" s="17" t="e">
        <f>AND(#REF!,"AAAAAH/n9+o=")</f>
        <v>#REF!</v>
      </c>
      <c r="IB2" s="17" t="e">
        <f>AND(#REF!,"AAAAAH/n9+s=")</f>
        <v>#REF!</v>
      </c>
      <c r="IC2" s="17" t="e">
        <f>IF(#REF!,"AAAAAH/n9+w=",0)</f>
        <v>#REF!</v>
      </c>
      <c r="ID2" s="17" t="e">
        <f>AND(#REF!,"AAAAAH/n9+0=")</f>
        <v>#REF!</v>
      </c>
      <c r="IE2" s="17" t="e">
        <f>AND(#REF!,"AAAAAH/n9+4=")</f>
        <v>#REF!</v>
      </c>
      <c r="IF2" s="17" t="e">
        <f>AND(#REF!,"AAAAAH/n9+8=")</f>
        <v>#REF!</v>
      </c>
      <c r="IG2" s="17" t="e">
        <f>AND(#REF!,"AAAAAH/n9/A=")</f>
        <v>#REF!</v>
      </c>
      <c r="IH2" s="17" t="e">
        <f>IF(#REF!,"AAAAAH/n9/E=",0)</f>
        <v>#REF!</v>
      </c>
      <c r="II2" s="17" t="e">
        <f>AND(#REF!,"AAAAAH/n9/I=")</f>
        <v>#REF!</v>
      </c>
      <c r="IJ2" s="17" t="e">
        <f>AND(#REF!,"AAAAAH/n9/M=")</f>
        <v>#REF!</v>
      </c>
      <c r="IK2" s="17" t="e">
        <f>AND(#REF!,"AAAAAH/n9/Q=")</f>
        <v>#REF!</v>
      </c>
      <c r="IL2" s="17" t="e">
        <f>AND(#REF!,"AAAAAH/n9/U=")</f>
        <v>#REF!</v>
      </c>
      <c r="IM2" s="17" t="e">
        <f>IF(#REF!,"AAAAAH/n9/Y=",0)</f>
        <v>#REF!</v>
      </c>
      <c r="IN2" s="17" t="e">
        <f>AND(#REF!,"AAAAAH/n9/c=")</f>
        <v>#REF!</v>
      </c>
      <c r="IO2" s="17" t="e">
        <f>AND(#REF!,"AAAAAH/n9/g=")</f>
        <v>#REF!</v>
      </c>
      <c r="IP2" s="17" t="e">
        <f>AND(#REF!,"AAAAAH/n9/k=")</f>
        <v>#REF!</v>
      </c>
      <c r="IQ2" s="17" t="e">
        <f>AND(#REF!,"AAAAAH/n9/o=")</f>
        <v>#REF!</v>
      </c>
      <c r="IR2" s="17" t="e">
        <f>IF(#REF!,"AAAAAH/n9/s=",0)</f>
        <v>#REF!</v>
      </c>
      <c r="IS2" s="17" t="e">
        <f>AND(#REF!,"AAAAAH/n9/w=")</f>
        <v>#REF!</v>
      </c>
      <c r="IT2" s="17" t="e">
        <f>AND(#REF!,"AAAAAH/n9/0=")</f>
        <v>#REF!</v>
      </c>
      <c r="IU2" s="17" t="e">
        <f>AND(#REF!,"AAAAAH/n9/4=")</f>
        <v>#REF!</v>
      </c>
      <c r="IV2" s="17" t="e">
        <f>AND(#REF!,"AAAAAH/n9/8=")</f>
        <v>#REF!</v>
      </c>
    </row>
    <row r="3" spans="1:256" ht="13.5" customHeight="1" x14ac:dyDescent="0.25">
      <c r="A3" s="17" t="e">
        <f>IF(#REF!,"AAAAAGrv5wA=",0)</f>
        <v>#REF!</v>
      </c>
      <c r="B3" s="17" t="e">
        <f>AND(#REF!,"AAAAAGrv5wE=")</f>
        <v>#REF!</v>
      </c>
      <c r="C3" s="17" t="e">
        <f>AND(#REF!,"AAAAAGrv5wI=")</f>
        <v>#REF!</v>
      </c>
      <c r="D3" s="17" t="e">
        <f>AND(#REF!,"AAAAAGrv5wM=")</f>
        <v>#REF!</v>
      </c>
      <c r="E3" s="17" t="e">
        <f>AND(#REF!,"AAAAAGrv5wQ=")</f>
        <v>#REF!</v>
      </c>
      <c r="F3" s="17" t="e">
        <f>IF(#REF!,"AAAAAGrv5wU=",0)</f>
        <v>#REF!</v>
      </c>
      <c r="G3" s="17" t="e">
        <f>AND(#REF!,"AAAAAGrv5wY=")</f>
        <v>#REF!</v>
      </c>
      <c r="H3" s="17" t="e">
        <f>AND(#REF!,"AAAAAGrv5wc=")</f>
        <v>#REF!</v>
      </c>
      <c r="I3" s="17" t="e">
        <f>AND(#REF!,"AAAAAGrv5wg=")</f>
        <v>#REF!</v>
      </c>
      <c r="J3" s="17" t="e">
        <f>AND(#REF!,"AAAAAGrv5wk=")</f>
        <v>#REF!</v>
      </c>
      <c r="K3" s="17" t="e">
        <f>IF(#REF!,"AAAAAGrv5wo=",0)</f>
        <v>#REF!</v>
      </c>
      <c r="L3" s="17" t="e">
        <f>AND(#REF!,"AAAAAGrv5ws=")</f>
        <v>#REF!</v>
      </c>
      <c r="M3" s="17" t="e">
        <f>AND(#REF!,"AAAAAGrv5ww=")</f>
        <v>#REF!</v>
      </c>
      <c r="N3" s="17" t="e">
        <f>AND(#REF!,"AAAAAGrv5w0=")</f>
        <v>#REF!</v>
      </c>
      <c r="O3" s="17" t="e">
        <f>AND(#REF!,"AAAAAGrv5w4=")</f>
        <v>#REF!</v>
      </c>
      <c r="P3" s="17" t="e">
        <f>IF(#REF!,"AAAAAGrv5w8=",0)</f>
        <v>#REF!</v>
      </c>
      <c r="Q3" s="17" t="e">
        <f>AND(#REF!,"AAAAAGrv5xA=")</f>
        <v>#REF!</v>
      </c>
      <c r="R3" s="17" t="e">
        <f>AND(#REF!,"AAAAAGrv5xE=")</f>
        <v>#REF!</v>
      </c>
      <c r="S3" s="17" t="e">
        <f>AND(#REF!,"AAAAAGrv5xI=")</f>
        <v>#REF!</v>
      </c>
      <c r="T3" s="17" t="e">
        <f>AND(#REF!,"AAAAAGrv5xM=")</f>
        <v>#REF!</v>
      </c>
      <c r="U3" s="17" t="e">
        <f>IF(#REF!,"AAAAAGrv5xQ=",0)</f>
        <v>#REF!</v>
      </c>
      <c r="V3" s="17" t="e">
        <f>AND(#REF!,"AAAAAGrv5xU=")</f>
        <v>#REF!</v>
      </c>
      <c r="W3" s="17" t="e">
        <f>AND(#REF!,"AAAAAGrv5xY=")</f>
        <v>#REF!</v>
      </c>
      <c r="X3" s="17" t="e">
        <f>AND(#REF!,"AAAAAGrv5xc=")</f>
        <v>#REF!</v>
      </c>
      <c r="Y3" s="17" t="e">
        <f>AND(#REF!,"AAAAAGrv5xg=")</f>
        <v>#REF!</v>
      </c>
      <c r="Z3" s="17" t="e">
        <f>IF(#REF!,"AAAAAGrv5xk=",0)</f>
        <v>#REF!</v>
      </c>
      <c r="AA3" s="17" t="e">
        <f>AND(#REF!,"AAAAAGrv5xo=")</f>
        <v>#REF!</v>
      </c>
      <c r="AB3" s="17" t="e">
        <f>AND(#REF!,"AAAAAGrv5xs=")</f>
        <v>#REF!</v>
      </c>
      <c r="AC3" s="17" t="e">
        <f>AND(#REF!,"AAAAAGrv5xw=")</f>
        <v>#REF!</v>
      </c>
      <c r="AD3" s="17" t="e">
        <f>AND(#REF!,"AAAAAGrv5x0=")</f>
        <v>#REF!</v>
      </c>
      <c r="AE3" s="17" t="e">
        <f>IF(#REF!,"AAAAAGrv5x4=",0)</f>
        <v>#REF!</v>
      </c>
      <c r="AF3" s="17" t="e">
        <f>AND(#REF!,"AAAAAGrv5x8=")</f>
        <v>#REF!</v>
      </c>
      <c r="AG3" s="17" t="e">
        <f>AND(#REF!,"AAAAAGrv5yA=")</f>
        <v>#REF!</v>
      </c>
      <c r="AH3" s="17" t="e">
        <f>AND(#REF!,"AAAAAGrv5yE=")</f>
        <v>#REF!</v>
      </c>
      <c r="AI3" s="17" t="e">
        <f>AND(#REF!,"AAAAAGrv5yI=")</f>
        <v>#REF!</v>
      </c>
      <c r="AJ3" s="17" t="e">
        <f>IF(#REF!,"AAAAAGrv5yM=",0)</f>
        <v>#REF!</v>
      </c>
      <c r="AK3" s="17" t="e">
        <f>AND(#REF!,"AAAAAGrv5yQ=")</f>
        <v>#REF!</v>
      </c>
      <c r="AL3" s="17" t="e">
        <f>AND(#REF!,"AAAAAGrv5yU=")</f>
        <v>#REF!</v>
      </c>
      <c r="AM3" s="17" t="e">
        <f>AND(#REF!,"AAAAAGrv5yY=")</f>
        <v>#REF!</v>
      </c>
      <c r="AN3" s="17" t="e">
        <f>AND(#REF!,"AAAAAGrv5yc=")</f>
        <v>#REF!</v>
      </c>
      <c r="AO3" s="17" t="e">
        <f>IF(#REF!,"AAAAAGrv5yg=",0)</f>
        <v>#REF!</v>
      </c>
      <c r="AP3" s="17" t="e">
        <f>AND(#REF!,"AAAAAGrv5yk=")</f>
        <v>#REF!</v>
      </c>
      <c r="AQ3" s="17" t="e">
        <f>AND(#REF!,"AAAAAGrv5yo=")</f>
        <v>#REF!</v>
      </c>
      <c r="AR3" s="17" t="e">
        <f>AND(#REF!,"AAAAAGrv5ys=")</f>
        <v>#REF!</v>
      </c>
      <c r="AS3" s="17" t="e">
        <f>AND(#REF!,"AAAAAGrv5yw=")</f>
        <v>#REF!</v>
      </c>
      <c r="AT3" s="17" t="e">
        <f>IF(#REF!,"AAAAAGrv5y0=",0)</f>
        <v>#REF!</v>
      </c>
      <c r="AU3" s="17" t="e">
        <f>AND(#REF!,"AAAAAGrv5y4=")</f>
        <v>#REF!</v>
      </c>
      <c r="AV3" s="17" t="e">
        <f>AND(#REF!,"AAAAAGrv5y8=")</f>
        <v>#REF!</v>
      </c>
      <c r="AW3" s="17" t="e">
        <f>AND(#REF!,"AAAAAGrv5zA=")</f>
        <v>#REF!</v>
      </c>
      <c r="AX3" s="17" t="e">
        <f>AND(#REF!,"AAAAAGrv5zE=")</f>
        <v>#REF!</v>
      </c>
      <c r="AY3" s="17" t="e">
        <f>IF(#REF!,"AAAAAGrv5zI=",0)</f>
        <v>#REF!</v>
      </c>
      <c r="AZ3" s="17" t="e">
        <f>AND(#REF!,"AAAAAGrv5zM=")</f>
        <v>#REF!</v>
      </c>
      <c r="BA3" s="17" t="e">
        <f>AND(#REF!,"AAAAAGrv5zQ=")</f>
        <v>#REF!</v>
      </c>
      <c r="BB3" s="17" t="e">
        <f>AND(#REF!,"AAAAAGrv5zU=")</f>
        <v>#REF!</v>
      </c>
      <c r="BC3" s="17" t="e">
        <f>AND(#REF!,"AAAAAGrv5zY=")</f>
        <v>#REF!</v>
      </c>
      <c r="BD3" s="17" t="e">
        <f>IF(#REF!,"AAAAAGrv5zc=",0)</f>
        <v>#REF!</v>
      </c>
      <c r="BE3" s="17" t="e">
        <f>AND(#REF!,"AAAAAGrv5zg=")</f>
        <v>#REF!</v>
      </c>
      <c r="BF3" s="17" t="e">
        <f>AND(#REF!,"AAAAAGrv5zk=")</f>
        <v>#REF!</v>
      </c>
      <c r="BG3" s="17" t="e">
        <f>AND(#REF!,"AAAAAGrv5zo=")</f>
        <v>#REF!</v>
      </c>
      <c r="BH3" s="17" t="e">
        <f>AND(#REF!,"AAAAAGrv5zs=")</f>
        <v>#REF!</v>
      </c>
      <c r="BI3" s="17" t="e">
        <f>IF(#REF!,"AAAAAGrv5zw=",0)</f>
        <v>#REF!</v>
      </c>
      <c r="BJ3" s="17" t="e">
        <f>IF(#REF!,"AAAAAGrv5z0=",0)</f>
        <v>#REF!</v>
      </c>
      <c r="BK3" s="17" t="e">
        <f>IF(#REF!,"AAAAAGrv5z4=",0)</f>
        <v>#REF!</v>
      </c>
      <c r="BL3" s="17" t="e">
        <f>IF(#REF!,"AAAAAGrv5z8=",0)</f>
        <v>#REF!</v>
      </c>
      <c r="BM3" s="17" t="e">
        <f>IF(#REF!,"AAAAAGrv50A=",0)</f>
        <v>#REF!</v>
      </c>
      <c r="BN3" s="19" t="s">
        <v>33</v>
      </c>
      <c r="BO3" s="17" t="s">
        <v>34</v>
      </c>
    </row>
    <row r="4" spans="1:256" ht="13.5" customHeight="1" x14ac:dyDescent="0.25"/>
    <row r="5" spans="1:256" ht="13.5" customHeight="1" x14ac:dyDescent="0.25"/>
    <row r="6" spans="1:256" ht="13.5" customHeight="1" x14ac:dyDescent="0.25"/>
    <row r="7" spans="1:256" ht="13.5" customHeight="1" x14ac:dyDescent="0.25"/>
    <row r="8" spans="1:256" ht="13.5" customHeight="1" x14ac:dyDescent="0.25"/>
    <row r="9" spans="1:256" ht="13.5" customHeight="1" x14ac:dyDescent="0.25"/>
    <row r="10" spans="1:256" ht="13.5" customHeight="1" x14ac:dyDescent="0.25"/>
    <row r="11" spans="1:256" ht="13.5" customHeight="1" x14ac:dyDescent="0.25"/>
    <row r="12" spans="1:256" ht="13.5" customHeight="1" x14ac:dyDescent="0.25"/>
    <row r="13" spans="1:256" ht="13.5" customHeight="1" x14ac:dyDescent="0.25"/>
    <row r="14" spans="1:256" ht="13.5" customHeight="1" x14ac:dyDescent="0.25"/>
    <row r="15" spans="1:256" ht="13.5" customHeight="1" x14ac:dyDescent="0.25"/>
    <row r="16" spans="1:256" ht="13.5" customHeight="1" x14ac:dyDescent="0.25"/>
    <row r="17" ht="13.5" customHeight="1" x14ac:dyDescent="0.25"/>
    <row r="18" ht="13.5" customHeight="1" x14ac:dyDescent="0.25"/>
    <row r="19" ht="13.5" customHeight="1" x14ac:dyDescent="0.25"/>
    <row r="20" ht="13.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IC-CBFP Evaluation Matrix</vt:lpstr>
      <vt:lpstr>Full Learning Objectives</vt:lpstr>
      <vt:lpstr>Instructor Authorization</vt:lpstr>
      <vt:lpstr>DV-IDENTITY-0</vt:lpstr>
      <vt:lpstr>'Instructor Authorization'!Print_Area</vt:lpstr>
      <vt:lpstr>'Full Learning Objectives'!Print_Titles</vt:lpstr>
      <vt:lpstr>'Instructor Authorization'!Print_Titles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Preethi</dc:creator>
  <cp:lastModifiedBy>ABI</cp:lastModifiedBy>
  <cp:revision/>
  <dcterms:created xsi:type="dcterms:W3CDTF">2016-02-26T14:40:18Z</dcterms:created>
  <dcterms:modified xsi:type="dcterms:W3CDTF">2018-02-06T12:10:05Z</dcterms:modified>
</cp:coreProperties>
</file>